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ésentation" sheetId="1" state="visible" r:id="rId1"/>
    <sheet xmlns:r="http://schemas.openxmlformats.org/officeDocument/2006/relationships" name="Catalogue" sheetId="2" state="visible" r:id="rId2"/>
    <sheet xmlns:r="http://schemas.openxmlformats.org/officeDocument/2006/relationships" name="Sélection" sheetId="3" state="visible" r:id="rId3"/>
    <sheet xmlns:r="http://schemas.openxmlformats.org/officeDocument/2006/relationships" name="Clauses retenues" sheetId="4" state="visible" r:id="rId4"/>
    <sheet xmlns:r="http://schemas.openxmlformats.org/officeDocument/2006/relationships" name="Lexique" sheetId="5" state="visible" r:id="rId5"/>
    <sheet xmlns:r="http://schemas.openxmlformats.org/officeDocument/2006/relationships" name="Références" sheetId="6" state="visible" r:id="rId6"/>
    <sheet xmlns:r="http://schemas.openxmlformats.org/officeDocument/2006/relationships" name="Crédits" sheetId="7" state="visible" r:id="rId7"/>
    <sheet xmlns:r="http://schemas.openxmlformats.org/officeDocument/2006/relationships" name="Données" sheetId="8" state="hidden" r:id="rId8"/>
  </sheets>
  <definedNames>
    <definedName name="_xlnm.Print_Titles" localSheetId="1">'Catalogue'!$1:$1</definedName>
    <definedName name="_xlnm.Print_Titles" localSheetId="2">'Sélection'!$3:$3</definedName>
    <definedName name="_xlnm.Print_Titles" localSheetId="3">'Clauses retenues'!$2:$2</definedName>
    <definedName name="_xlnm.Print_Titles" localSheetId="4">'Lexique'!$3:$3</definedName>
    <definedName name="_xlnm.Print_Titles" localSheetId="5">'Références'!$3:$3</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94F6E"/>
      <sz val="16"/>
    </font>
    <font>
      <name val="Arial"/>
      <b val="1"/>
      <sz val="10"/>
    </font>
    <font>
      <name val="Arial"/>
      <b val="1"/>
      <color rgb="00173B4F"/>
      <sz val="12"/>
    </font>
    <font>
      <name val="Arial"/>
      <sz val="10"/>
    </font>
    <font>
      <name val="Arial"/>
      <i val="1"/>
      <color rgb="0055707E"/>
      <sz val="9"/>
    </font>
    <font>
      <name val="Arial"/>
      <b val="1"/>
      <color rgb="00FFFFFF"/>
      <sz val="10"/>
    </font>
    <font>
      <name val="Arial"/>
      <color rgb="0055707E"/>
      <sz val="9"/>
    </font>
    <font>
      <name val="Arial"/>
      <color rgb="000563C1"/>
      <sz val="10"/>
      <u val="single"/>
    </font>
  </fonts>
  <fills count="4">
    <fill>
      <patternFill/>
    </fill>
    <fill>
      <patternFill patternType="gray125"/>
    </fill>
    <fill>
      <patternFill patternType="solid">
        <fgColor rgb="00194F6E"/>
      </patternFill>
    </fill>
    <fill>
      <patternFill patternType="solid">
        <fgColor rgb="00FFF2CC"/>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applyAlignment="1" pivotButton="0" quotePrefix="0" xfId="0">
      <alignment vertical="center" wrapText="1"/>
    </xf>
    <xf numFmtId="0" fontId="2" fillId="0" borderId="0" pivotButton="0" quotePrefix="0" xfId="0"/>
    <xf numFmtId="0" fontId="2" fillId="3" borderId="0" applyAlignment="1" pivotButton="0" quotePrefix="0" xfId="0">
      <alignment horizontal="center" vertical="top"/>
    </xf>
    <xf numFmtId="0" fontId="7" fillId="0" borderId="0" pivotButton="0" quotePrefix="0" xfId="0"/>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ables/table1.xml><?xml version="1.0" encoding="utf-8"?>
<table xmlns="http://schemas.openxmlformats.org/spreadsheetml/2006/main" id="1" name="Catalogue" displayName="Catalogue" ref="A1:M103" headerRowCount="1">
  <autoFilter ref="A1:M103"/>
  <tableColumns count="13">
    <tableColumn id="1" name="ID"/>
    <tableColumn id="2" name="Critère"/>
    <tableColumn id="3" name="Commentaire"/>
    <tableColumn id="4" name="Exigences"/>
    <tableColumn id="5" name="Livrables"/>
    <tableColumn id="6" name="Questions"/>
    <tableColumn id="7" name="Niveau 1 (Must have)"/>
    <tableColumn id="8" name="Niveau 2 (Nice to have)"/>
    <tableColumn id="9" name="Segment"/>
    <tableColumn id="10" name="Sous segment"/>
    <tableColumn id="11" name="Phase"/>
    <tableColumn id="12" name="Section V2"/>
    <tableColumn id="13" name="Page PDF V2"/>
  </tableColumns>
  <tableStyleInfo name="TableStyleLight9" showRowStripes="1"/>
</table>
</file>

<file path=xl/tables/table2.xml><?xml version="1.0" encoding="utf-8"?>
<table xmlns="http://schemas.openxmlformats.org/spreadsheetml/2006/main" id="2" name="Selection" displayName="Selection" ref="A3:G105" headerRowCount="1">
  <autoFilter ref="A3:G105"/>
  <tableColumns count="7">
    <tableColumn id="1" name="ID"/>
    <tableColumn id="2" name="Segment"/>
    <tableColumn id="3" name="Sous segment"/>
    <tableColumn id="4" name="Phase"/>
    <tableColumn id="5" name="Clause"/>
    <tableColumn id="6" name="Retenir"/>
    <tableColumn id="7" name="Rang"/>
  </tableColumns>
  <tableStyleInfo name="TableStyleLight9" showRowStripes="1"/>
</table>
</file>

<file path=xl/tables/table3.xml><?xml version="1.0" encoding="utf-8"?>
<table xmlns="http://schemas.openxmlformats.org/spreadsheetml/2006/main" id="3" name="Lexique" displayName="Lexique" ref="A3:C96" headerRowCount="1">
  <autoFilter ref="A3:C96"/>
  <tableColumns count="3">
    <tableColumn id="1" name="Terme"/>
    <tableColumn id="2" name="Définition"/>
    <tableColumn id="3" name="Catégorie"/>
  </tableColumns>
  <tableStyleInfo name="TableStyleLight9" showRowStripes="1"/>
</table>
</file>

<file path=xl/tables/table4.xml><?xml version="1.0" encoding="utf-8"?>
<table xmlns="http://schemas.openxmlformats.org/spreadsheetml/2006/main" id="4" name="References" displayName="References" ref="A3:B9" headerRowCount="1">
  <autoFilter ref="A3:B9"/>
  <tableColumns count="2">
    <tableColumn id="1" name="Référence"/>
    <tableColumn id="2" name="Adresse"/>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hyperlink" Target="https://ecoresponsable.numerique.gouv.fr/docs/2021/guide-achats-numeriques-responsables-version-beta-avril-2021.pdf" TargetMode="External" Id="rId1"/><Relationship Type="http://schemas.openxmlformats.org/officeDocument/2006/relationships/hyperlink" Target="https://www.cigref.fr/technical-specifications-booklet-tsb-to-be-integrated-in-a-request-for-proposal-for-trusted-cloud-solutions" TargetMode="External" Id="rId2"/><Relationship Type="http://schemas.openxmlformats.org/officeDocument/2006/relationships/hyperlink" Target="https://ecoresponsable.numerique.gouv.fr/actualites/fiche-HA-IA/" TargetMode="External" Id="rId3"/><Relationship Type="http://schemas.openxmlformats.org/officeDocument/2006/relationships/hyperlink" Target="https://labo.societenumerique.gouv.fr/fr/articles/comment-s%C3%A9curiser-le-recours-%C3%A0-des-communs-num%C3%A9riques-dans-le-cadre-dun-march%C3%A9-public/#3-3-anticiper-la-gestion-des-connaissances-anterieures" TargetMode="External" Id="rId4"/><Relationship Type="http://schemas.openxmlformats.org/officeDocument/2006/relationships/hyperlink" Target="https://www.economie.gouv.fr/files/files/directions_services/dae/doc/Guide_PII_web.pdf" TargetMode="External" Id="rId5"/><Relationship Type="http://schemas.openxmlformats.org/officeDocument/2006/relationships/hyperlink" Target="https://www.legifrance.gouv.fr/loda/id/JORFTEXT000043310689" TargetMode="External" Id="rId6"/><Relationship Type="http://schemas.openxmlformats.org/officeDocument/2006/relationships/table" Target="/xl/tables/table4.xml" Id="rId7"/></Relationships>
</file>

<file path=xl/worksheets/sheet1.xml><?xml version="1.0" encoding="utf-8"?>
<worksheet xmlns="http://schemas.openxmlformats.org/spreadsheetml/2006/main">
  <sheetPr>
    <outlinePr summaryBelow="1" summaryRight="1"/>
    <pageSetUpPr fitToPage="1"/>
  </sheetPr>
  <dimension ref="A1:A23"/>
  <sheetViews>
    <sheetView workbookViewId="0">
      <selection activeCell="A1" sqref="A1"/>
    </sheetView>
  </sheetViews>
  <sheetFormatPr baseColWidth="8" defaultRowHeight="15"/>
  <cols>
    <col width="110" customWidth="1" min="1" max="1"/>
  </cols>
  <sheetData>
    <row r="1" ht="26" customHeight="1">
      <c r="A1" s="1" t="inlineStr">
        <is>
          <t>Clausier Numérique Responsable — version 2.0</t>
        </is>
      </c>
    </row>
    <row r="2">
      <c r="A2" s="2" t="inlineStr">
        <is>
          <t>Coordonné par French Tech Corporate Community (FTCC) et Institut du Numérique Responsable (INR). 102 clauses.</t>
        </is>
      </c>
    </row>
    <row r="4">
      <c r="A4" s="3" t="inlineStr">
        <is>
          <t>Présentation</t>
        </is>
      </c>
    </row>
    <row r="5" ht="42" customHeight="1">
      <c r="A5" s="4" t="inlineStr">
        <is>
          <t>Le présent clausier type vise à aider les prescripteurs et les acheteurs à rédiger les documents de consultation et à évaluer les offres des soumissionnaires de manière rigoureuse et objective.</t>
        </is>
      </c>
    </row>
    <row r="6" ht="42" customHeight="1">
      <c r="A6" s="4" t="inlineStr">
        <is>
          <t>Pour chaque segment, il propose deux parties : des critères attendus en phase amont d’un marché, formulés sous forme de questionnaire (RFI/RFP) visant à sélectionner et évaluer les soumissionnaires ; des exigences à satisfaire par les titulaires sur la durée de vie du marché, à intégrer dans les documents contractuels (CCAP &amp; CCTP).</t>
        </is>
      </c>
    </row>
    <row r="7" ht="42" customHeight="1">
      <c r="A7" s="4" t="inlineStr">
        <is>
          <t>Chaque critère présente autant que possible deux niveaux : un niveau socle « Must have » (Niveau 1) et un niveau plus ambitieux « Nice to have » (Niveau 2).</t>
        </is>
      </c>
    </row>
    <row r="8" ht="42" customHeight="1">
      <c r="A8" s="4" t="inlineStr">
        <is>
          <t>(Texte repris de la section « Comment lire le Clausier Numérique Responsable ? » du document V2 et de la feuille Notice du classeur de préparation.)</t>
        </is>
      </c>
    </row>
    <row r="10">
      <c r="A10" s="3" t="inlineStr">
        <is>
          <t>Mode d’emploi du classeur</t>
        </is>
      </c>
    </row>
    <row r="11" ht="30" customHeight="1">
      <c r="A11" s="4" t="inlineStr">
        <is>
          <t>1. Feuille « Catalogue » : toutes les clauses, avec leur texte complet. Utilisez les flèches de filtre des en-têtes (Segment, Sous segment, Phase…) pour consulter un périmètre.</t>
        </is>
      </c>
    </row>
    <row r="12" ht="30" customHeight="1">
      <c r="A12" s="4" t="inlineStr">
        <is>
          <t>2. Feuille « Sélection » : choisissez « Oui » dans la colonne « Retenir » (cellules jaunes) pour chaque clause utile à votre consultation. Les filtres fonctionnent aussi ici.</t>
        </is>
      </c>
    </row>
    <row r="13" ht="30" customHeight="1">
      <c r="A13" s="4" t="inlineStr">
        <is>
          <t>3. Feuille « Clauses retenues » : les clauses retenues s’y regroupent automatiquement, dans l’ordre du clausier, avec leur texte complet. Copiez-les dans vos documents de consultation.</t>
        </is>
      </c>
    </row>
    <row r="14" ht="30" customHeight="1">
      <c r="A14" s="4" t="inlineStr">
        <is>
          <t>4. Les identifiants (ex. COM-Q-01) sont stables : ils désignent la même clause dans le classeur, sur le site et dans le dépôt Markdown. Citez-les dans vos échanges.</t>
        </is>
      </c>
    </row>
    <row r="15" ht="30" customHeight="1">
      <c r="A15" s="4" t="inlineStr">
        <is>
          <t>Les critères, leur poids et les exigences sont à adapter aux spécificités et à la stratégie d’achat de chaque organisation.</t>
        </is>
      </c>
    </row>
    <row r="17">
      <c r="A17" s="3" t="inlineStr">
        <is>
          <t>Licence et réutilisation</t>
        </is>
      </c>
    </row>
    <row r="18" ht="30" customHeight="1">
      <c r="A18" s="4" t="inlineStr">
        <is>
          <t>Clausier Numérique Responsable © 2026 French Tech Corporate Community (FTCC) &amp; Institut du Numérique Responsable (INR), sous licence CC BY 4.0. Réutilisation et modification libres, y compris commerciales, à condition de citer la source et d’indiquer les modifications.</t>
        </is>
      </c>
    </row>
    <row r="19" ht="30" customHeight="1">
      <c r="A19" s="2" t="inlineStr">
        <is>
          <t>À citer : Clausier Numérique Responsable, Institut du Numérique Responsable (INR) et French Tech Corporate Community (FTCC), licence CC BY 4.0, https://creativecommons.org/licenses/by/4.0/deed.fr</t>
        </is>
      </c>
    </row>
    <row r="20">
      <c r="A20" s="4" t="inlineStr">
        <is>
          <t>Propositions d’actualisation : contact@institutnr.org</t>
        </is>
      </c>
    </row>
    <row r="22">
      <c r="A22" s="2" t="inlineStr">
        <is>
          <t>Crédits : voir la feuille « Crédits ».</t>
        </is>
      </c>
    </row>
    <row r="23">
      <c r="A23" s="5" t="inlineStr">
        <is>
          <t>Fichier généré automatiquement à partir des sources Markdown du clausier. Ne modifiez pas les clauses ici : proposez vos modifications sur le dépôt.</t>
        </is>
      </c>
    </row>
  </sheetData>
  <pageMargins left="0.4" right="0.4" top="1" bottom="1" header="0.5" footer="0.5"/>
  <pageSetup orientation="portrait" paperSize="9" fitToHeight="0" fitToWidth="1"/>
  <headerFooter>
    <oddHeader/>
    <oddFooter>&amp;C&amp;A — page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M10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40" customWidth="1" min="3" max="3"/>
    <col width="45" customWidth="1" min="4" max="4"/>
    <col width="40" customWidth="1" min="5" max="5"/>
    <col width="50" customWidth="1" min="6" max="6"/>
    <col width="45" customWidth="1" min="7" max="7"/>
    <col width="45" customWidth="1" min="8" max="8"/>
    <col width="15" customWidth="1" min="9" max="9"/>
    <col width="22" customWidth="1" min="10" max="10"/>
    <col width="13" customWidth="1" min="11" max="11"/>
    <col width="9" customWidth="1" min="12" max="12"/>
    <col width="9" customWidth="1" min="13" max="13"/>
  </cols>
  <sheetData>
    <row r="1">
      <c r="A1" s="6" t="inlineStr">
        <is>
          <t>ID</t>
        </is>
      </c>
      <c r="B1" s="6" t="inlineStr">
        <is>
          <t>Critère</t>
        </is>
      </c>
      <c r="C1" s="6" t="inlineStr">
        <is>
          <t>Commentaire</t>
        </is>
      </c>
      <c r="D1" s="6" t="inlineStr">
        <is>
          <t>Exigences</t>
        </is>
      </c>
      <c r="E1" s="6" t="inlineStr">
        <is>
          <t>Livrables</t>
        </is>
      </c>
      <c r="F1" s="6" t="inlineStr">
        <is>
          <t>Questions</t>
        </is>
      </c>
      <c r="G1" s="6" t="inlineStr">
        <is>
          <t>Niveau 1 (Must have)</t>
        </is>
      </c>
      <c r="H1" s="6" t="inlineStr">
        <is>
          <t>Niveau 2 (Nice to have)</t>
        </is>
      </c>
      <c r="I1" s="6" t="inlineStr">
        <is>
          <t>Segment</t>
        </is>
      </c>
      <c r="J1" s="6" t="inlineStr">
        <is>
          <t>Sous segment</t>
        </is>
      </c>
      <c r="K1" s="6" t="inlineStr">
        <is>
          <t>Phase</t>
        </is>
      </c>
      <c r="L1" s="6" t="inlineStr">
        <is>
          <t>Section V2</t>
        </is>
      </c>
      <c r="M1" s="6" t="inlineStr">
        <is>
          <t>Page PDF V2</t>
        </is>
      </c>
    </row>
    <row r="2">
      <c r="A2" s="2" t="inlineStr">
        <is>
          <t>COM-Q-01</t>
        </is>
      </c>
      <c r="B2" s="2" t="inlineStr">
        <is>
          <t>Labels et démarches RSE appliquées aux activités numériques et IT</t>
        </is>
      </c>
      <c r="C2" s="4" t="inlineStr">
        <is>
          <t>Exemples de labels :
• L’évaluation RSE Ecovadis concernant le numérique
• ISO 14001 concernant les activités/services numériques
• Adhésion au PACT européen pour l’IA</t>
        </is>
      </c>
      <c r="D2" s="4" t="inlineStr"/>
      <c r="E2" s="4" t="inlineStr"/>
      <c r="F2" s="4" t="inlineStr">
        <is>
          <t>• Décrivez votre démarche de Responsabilité Sociétale des Entreprises (RSE). Comment est-elle pilotée au sein de votre organisation et spécifiquement pour vos activités numériques ?
• Votre démarche RSE fait-elle l'objet d'une évaluation ou d'un audit régulier par un organisme indépendant ? Si oui, précisez l'organisme, la date de la dernière évaluation et le score obtenu.
• Quelles sont les actions concrètes mises en œuvre pour réduire l'impact environnemental et social de vos services numériques (ex : écoconception, gestion du cycle de vie du matériel, inclusion) ?
• Disposez-vous de labels ou certifications spécifiques au Numérique Responsable (ex : Label NR de l'INR, ISO 14001 sur le périmètre IT) ?</t>
        </is>
      </c>
      <c r="G2" s="4" t="inlineStr">
        <is>
          <t>• Preuve de l'existence d'une démarche environnementale structurée et évaluée en interne ou par un tiers.
• Capacité à décrire les compétences et la professionnalisation des équipes sur le sujet.
• Engagement à partager ses processus et bonnes pratiques avec l'Entreprise.
• Signature Charte NR de l’INR et/ou la charte IA Responsable de l’INR ou équivalent</t>
        </is>
      </c>
      <c r="H2" s="4" t="inlineStr">
        <is>
          <t>• Signature du Pacte Européen pour l’IA et mise en place d'un comité d'éthique interne.
• Publication de livres blancs, participation à des groupes de travail sectoriels (ex : CIGREF, Green IT).
• (Hors commande publique) Label Numérique Responsable ou AFNOR Engagé RSE.
• (Hors commande publique) Certification ou Label Tiers de référence (ex : ISO 14001, évaluation Ecovadis avec un score &gt; 60/100).</t>
        </is>
      </c>
      <c r="I2" s="4" t="inlineStr">
        <is>
          <t>- Transverse -</t>
        </is>
      </c>
      <c r="J2" s="4" t="inlineStr"/>
      <c r="K2" s="4" t="inlineStr">
        <is>
          <t>RFI/RFP</t>
        </is>
      </c>
      <c r="L2" s="4" t="inlineStr">
        <is>
          <t>1.1</t>
        </is>
      </c>
      <c r="M2" s="4" t="n">
        <v>8</v>
      </c>
    </row>
    <row r="3">
      <c r="A3" s="2" t="inlineStr">
        <is>
          <t>COM-Q-02</t>
        </is>
      </c>
      <c r="B3" s="2" t="inlineStr">
        <is>
          <t>Labels et démarches Numérique responsable</t>
        </is>
      </c>
      <c r="C3" s="4" t="inlineStr">
        <is>
          <t>Exemples de labels :
• Le label numérique responsable de l'INR ou tout autre label équivalent</t>
        </is>
      </c>
      <c r="D3" s="4" t="inlineStr"/>
      <c r="E3" s="4" t="inlineStr"/>
      <c r="F3" s="4" t="inlineStr">
        <is>
          <t>• Avez-vous une démarche Numérique responsable évaluée par un tiers ?
• Pouvez-vous démontrer votre maîtrise, vos compétences, la professionnalisation de vos équipes, partager vos bonnes pratiques et processus ?</t>
        </is>
      </c>
      <c r="G3" s="4" t="inlineStr">
        <is>
          <t>Preuve de l’existence d’une démarche Numérique responsable (Exemple Signature de la Charte NR)</t>
        </is>
      </c>
      <c r="H3" s="4" t="inlineStr">
        <is>
          <t>Certifié et/ou labellisé Numérique responsable niveau 2</t>
        </is>
      </c>
      <c r="I3" s="4" t="inlineStr">
        <is>
          <t>- Transverse -</t>
        </is>
      </c>
      <c r="J3" s="4" t="inlineStr"/>
      <c r="K3" s="4" t="inlineStr">
        <is>
          <t>RFI/RFP</t>
        </is>
      </c>
      <c r="L3" s="4" t="inlineStr">
        <is>
          <t>1.1</t>
        </is>
      </c>
      <c r="M3" s="4" t="n">
        <v>8</v>
      </c>
    </row>
    <row r="4">
      <c r="A4" s="2" t="inlineStr">
        <is>
          <t>COM-Q-03</t>
        </is>
      </c>
      <c r="B4" s="2" t="inlineStr">
        <is>
          <t>Équité, Diversité et Inclusion</t>
        </is>
      </c>
      <c r="C4" s="4" t="inlineStr">
        <is>
          <t>Le prestataire garantit une culture de travail inclusive et s'engage à lutter contre les stéréotypes de genre et les biais discriminatoires dans ses équipes et ses solutions.</t>
        </is>
      </c>
      <c r="D4" s="4" t="inlineStr"/>
      <c r="E4" s="4" t="inlineStr"/>
      <c r="F4" s="4" t="inlineStr">
        <is>
          <t>• Comment s’appliquent vos politiques de diversité et d’inclusion santé et sécurité dans le numérique ?
• Quelle est votre stratégie pour assurer la mixité et la féminisation de vos équipes techniques ?</t>
        </is>
      </c>
      <c r="G4" s="4" t="inlineStr">
        <is>
          <t>• Indicateurs légaux : Fourniture de l'Index de l'égalité professionnelle (pour les entreprises concernées) avec un score minimum de 75/100.
• Preuve d'engagement : Signature d'une Charte de la Diversité ou existence d'un accord d'entreprise incluant des mesures spécifiques pour le secteur numérique.</t>
        </is>
      </c>
      <c r="H4" s="4" t="inlineStr">
        <is>
          <t>• Détention du label GEEIS-AI (pour une IA responsable et non-discriminatoire) ou du Label Diversité de l'AFNOR.
• Publication annuelle de la répartition Femmes/Hommes par niveau de séniorité technique (ex: Junior vs Staff Engineer).
• Mécénat de compétences ou partenariats actifs avec des structures favorisant l'inclusion dans la tech (ex : Simplon, Social Builder, Elles Bougent).
• Sensibilisation : Justifier que 100% des managers et recruteurs ont suivi une formation sur les biais cognitifs et la non-discrimination.</t>
        </is>
      </c>
      <c r="I4" s="4" t="inlineStr">
        <is>
          <t>- Transverse -</t>
        </is>
      </c>
      <c r="J4" s="4" t="inlineStr"/>
      <c r="K4" s="4" t="inlineStr">
        <is>
          <t>RFI/RFP</t>
        </is>
      </c>
      <c r="L4" s="4" t="inlineStr">
        <is>
          <t>1.1</t>
        </is>
      </c>
      <c r="M4" s="4" t="n">
        <v>8</v>
      </c>
    </row>
    <row r="5">
      <c r="A5" s="2" t="inlineStr">
        <is>
          <t>COM-Q-04</t>
        </is>
      </c>
      <c r="B5" s="2" t="inlineStr">
        <is>
          <t>Devoir de Vigilance et Droits Fondamentaux</t>
        </is>
      </c>
      <c r="C5" s="4" t="inlineStr">
        <is>
          <t>Cette clause s'inscrit dans le cadre des nouvelles règles européennes. Le Titulaire doit confirmer sa conformité selon le calendrier de mise en œuvre suivant :
• À partir de 2027 : Entreprises de &gt; 5 000 employés et &gt; 1 500 M€ de CA mondial.
• À partir de 2028 : Entreprises de &gt; 3 000 employés et &gt; 900 M€ de CA mondial.
• À partir de 2029 : Toutes les autres entreprises concernées (&gt; 1 000 employés et &gt; 450 M€ de CA mondial).</t>
        </is>
      </c>
      <c r="D5" s="4" t="inlineStr"/>
      <c r="E5" s="4" t="inlineStr"/>
      <c r="F5" s="4" t="inlineStr">
        <is>
          <t>• Disposez-vous d'un plan de vigilance formalisé et à jour couvrant spécifiquement vos activités numériques et celles de vos filiales ?
• Pouvez-vous garantir la transparence complète de votre chaîne d'approvisionnement pour les composants matériels critiques (écrans, batteries, processeurs) ?
• Comment intégrez-vous la prévention des dommages environnementaux majeurs dans le choix et le suivi de vos sous-traitants ?</t>
        </is>
      </c>
      <c r="G5" s="4" t="inlineStr">
        <is>
          <t>• Engagement écrit à respecter le calendrier d'éligibilité CS3D (2027-2029).
• Signature d'un code de conduite par 100% des fournisseurs de rang 1.
• Existence d'un canal de signalement interne accessible aux parties prenantes.</t>
        </is>
      </c>
      <c r="H5" s="4" t="inlineStr">
        <is>
          <t>• Fourniture d’une cartographie formalisée des risques en matière de droits humains et conditions de travail, couvrant les activités ainsi que, le cas échéant, celles de la chaîne d’approvisionnement
• Anticipation volontaire des seuils de vigilance pour les entreprises non encore assujetties.
• Audit tiers indépendant (ex : RBA) des sites de production des composants critiques.
• Publication annuelle d'un rapport de remédiation détaillant les actions correctives entreprises pour donner suite aux alertes.</t>
        </is>
      </c>
      <c r="I5" s="4" t="inlineStr">
        <is>
          <t>- Transverse -</t>
        </is>
      </c>
      <c r="J5" s="4" t="inlineStr"/>
      <c r="K5" s="4" t="inlineStr">
        <is>
          <t>RFI/RFP</t>
        </is>
      </c>
      <c r="L5" s="4" t="inlineStr">
        <is>
          <t>1.1</t>
        </is>
      </c>
      <c r="M5" s="4" t="n">
        <v>9</v>
      </c>
    </row>
    <row r="6">
      <c r="A6" s="2" t="inlineStr">
        <is>
          <t>COM-Q-05</t>
        </is>
      </c>
      <c r="B6" s="2" t="inlineStr">
        <is>
          <t>Souveraineté numérique</t>
        </is>
      </c>
      <c r="C6" s="4" t="inlineStr"/>
      <c r="D6" s="4" t="inlineStr"/>
      <c r="E6" s="4" t="inlineStr"/>
      <c r="F6" s="4" t="inlineStr">
        <is>
          <t>• Comment évaluez-vous les risques (politiques, juridiques ou économiques) liés à vos fournisseurs dont le siège social est situé en dehors de l’Espace Économique Européen ?
• Quelles solutions de repli ou alternatives techniques avez-vous déjà testées pour pallier une interruption brutale de service essentiel dans le cadre de votre service d'un de vos fournisseurs critiques non-européens ?</t>
        </is>
      </c>
      <c r="G6" s="4" t="inlineStr">
        <is>
          <t>• Existence d’un plan d’actions de maitrise des principaux risques identifiés liés à la souveraineté numérique ?
• Existence d'un plan d'adressage des risques pour les 3 fournisseurs les plus critiques.</t>
        </is>
      </c>
      <c r="H6" s="4" t="inlineStr">
        <is>
          <t>• Analyse d'impact business (BIA) dynamique, mise à jour à chaque modification majeure de l'architecture technique.
• Plan de remédiation complet incluant des tests annuels de basculement (switching) vers des solutions alternatives.</t>
        </is>
      </c>
      <c r="I6" s="4" t="inlineStr">
        <is>
          <t>- Transverse -</t>
        </is>
      </c>
      <c r="J6" s="4" t="inlineStr"/>
      <c r="K6" s="4" t="inlineStr">
        <is>
          <t>RFI/RFP</t>
        </is>
      </c>
      <c r="L6" s="4" t="inlineStr">
        <is>
          <t>1.1</t>
        </is>
      </c>
      <c r="M6" s="4" t="n">
        <v>9</v>
      </c>
    </row>
    <row r="7">
      <c r="A7" s="2" t="inlineStr">
        <is>
          <t>COM-Q-06</t>
        </is>
      </c>
      <c r="B7" s="2" t="inlineStr">
        <is>
          <t>Transparence sur l’empreinte environnementale de l’entreprise</t>
        </is>
      </c>
      <c r="C7" s="4" t="inlineStr"/>
      <c r="D7" s="4" t="inlineStr"/>
      <c r="E7" s="4" t="inlineStr"/>
      <c r="F7" s="4" t="inlineStr">
        <is>
          <t>• Publiez-vous un bilan carbone complet (scope1, 2 et 3) et normé incluant la consommation d’énergie (méthode ADEME ou GHG Protocol ou l’ISO 14064) ?</t>
        </is>
      </c>
      <c r="G7" s="4" t="inlineStr">
        <is>
          <t>Publication dans le rapport annuel</t>
        </is>
      </c>
      <c r="H7" s="4" t="inlineStr">
        <is>
          <t>Publication sur la plateforme CDP7 et / ou ADEME8</t>
        </is>
      </c>
      <c r="I7" s="4" t="inlineStr">
        <is>
          <t>- Transverse -</t>
        </is>
      </c>
      <c r="J7" s="4" t="inlineStr"/>
      <c r="K7" s="4" t="inlineStr">
        <is>
          <t>RFI/RFP</t>
        </is>
      </c>
      <c r="L7" s="4" t="inlineStr">
        <is>
          <t>1.1</t>
        </is>
      </c>
      <c r="M7" s="4" t="n">
        <v>10</v>
      </c>
    </row>
    <row r="8">
      <c r="A8" s="2" t="inlineStr">
        <is>
          <t>COM-Q-07</t>
        </is>
      </c>
      <c r="B8" s="2" t="inlineStr">
        <is>
          <t>Objectifs globaux de réduction des émissions de gaz à effet de serre</t>
        </is>
      </c>
      <c r="C8" s="4" t="inlineStr">
        <is>
          <t>SBTi – Science Based Target Initiative et Climate Neutral Now</t>
        </is>
      </c>
      <c r="D8" s="4" t="inlineStr"/>
      <c r="E8" s="4" t="inlineStr"/>
      <c r="F8" s="4" t="inlineStr">
        <is>
          <t>• Quels sont les objectifs fixés et la trajectoire de réduction des émissions de gaz à effet de serre ?</t>
        </is>
      </c>
      <c r="G8" s="4" t="inlineStr">
        <is>
          <t>Objectifs publiés dans le rapport annuel (CSRD)</t>
        </is>
      </c>
      <c r="H8" s="4" t="inlineStr">
        <is>
          <t>Objectifs validés par SBTi</t>
        </is>
      </c>
      <c r="I8" s="4" t="inlineStr">
        <is>
          <t>- Transverse -</t>
        </is>
      </c>
      <c r="J8" s="4" t="inlineStr"/>
      <c r="K8" s="4" t="inlineStr">
        <is>
          <t>RFI/RFP</t>
        </is>
      </c>
      <c r="L8" s="4" t="inlineStr">
        <is>
          <t>1.1</t>
        </is>
      </c>
      <c r="M8" s="4" t="n">
        <v>10</v>
      </c>
    </row>
    <row r="9">
      <c r="A9" s="2" t="inlineStr">
        <is>
          <t>COM-Q-08</t>
        </is>
      </c>
      <c r="B9" s="2" t="inlineStr">
        <is>
          <t>Empreinte environnementale de la prestation</t>
        </is>
      </c>
      <c r="C9" s="4" t="inlineStr">
        <is>
          <t>Une évaluation multicritère :
• Émissions carbone Scope 1, scope 2 Market et Location based, scope 3 (kgCO2)
• Montant des crédits carbone (CO2 &amp; EUR)
• Consommation eau (L), énergie (KWh) et déchets (Kg)</t>
        </is>
      </c>
      <c r="D9" s="4" t="inlineStr"/>
      <c r="E9" s="4" t="inlineStr"/>
      <c r="F9" s="4" t="inlineStr">
        <is>
          <t>• Êtes-vous en mesure de réaliser un bilan multicritère environnemental des prestations délivrées ? Si oui, précisez la méthodologie utilisée ?</t>
        </is>
      </c>
      <c r="G9" s="4" t="inlineStr">
        <is>
          <t>Bilan carbone en précisant la méthodologie (ADEME ou GHG protocol, …)</t>
        </is>
      </c>
      <c r="H9" s="4" t="inlineStr">
        <is>
          <t>Bilan environnementaux élargis (énergie, eau, biodiversité, déchets, ACV, …)</t>
        </is>
      </c>
      <c r="I9" s="4" t="inlineStr">
        <is>
          <t>- Transverse -</t>
        </is>
      </c>
      <c r="J9" s="4" t="inlineStr"/>
      <c r="K9" s="4" t="inlineStr">
        <is>
          <t>RFI/RFP</t>
        </is>
      </c>
      <c r="L9" s="4" t="inlineStr">
        <is>
          <t>1.1</t>
        </is>
      </c>
      <c r="M9" s="4" t="n">
        <v>10</v>
      </c>
    </row>
    <row r="10">
      <c r="A10" s="2" t="inlineStr">
        <is>
          <t>COM-Q-09</t>
        </is>
      </c>
      <c r="B10" s="2" t="inlineStr">
        <is>
          <t>Formation Numérique Responsable</t>
        </is>
      </c>
      <c r="C10" s="4" t="inlineStr"/>
      <c r="D10" s="4" t="inlineStr"/>
      <c r="E10" s="4" t="inlineStr"/>
      <c r="F10" s="4" t="inlineStr">
        <is>
          <t>• Quel est le parcours de formation des salariés aux enjeux du Numérique responsable ?</t>
        </is>
      </c>
      <c r="G10" s="4" t="inlineStr">
        <is>
          <t>Preuve d’une démarche interne de formation incluant le numérique responsable, l’éco-conception et l’accessibilité numérique, avec le détail des contenus et de la durée des modules</t>
        </is>
      </c>
      <c r="H10" s="4" t="inlineStr">
        <is>
          <t>Preuve de la professionnalisation des futurs intervenants dans le cadre du marché</t>
        </is>
      </c>
      <c r="I10" s="4" t="inlineStr">
        <is>
          <t>- Transverse -</t>
        </is>
      </c>
      <c r="J10" s="4" t="inlineStr"/>
      <c r="K10" s="4" t="inlineStr">
        <is>
          <t>RFI/RFP</t>
        </is>
      </c>
      <c r="L10" s="4" t="inlineStr">
        <is>
          <t>1.1</t>
        </is>
      </c>
      <c r="M10" s="4" t="n">
        <v>10</v>
      </c>
    </row>
    <row r="11">
      <c r="A11" s="2" t="inlineStr">
        <is>
          <t>COM-Q-10</t>
        </is>
      </c>
      <c r="B11" s="2" t="inlineStr">
        <is>
          <t>Déplacements professionnels de la prestation</t>
        </is>
      </c>
      <c r="C11" s="4" t="inlineStr">
        <is>
          <t>• Stratégie (volontariste)
• Modalités de transport faible impact "globe" : train / bateau / autre</t>
        </is>
      </c>
      <c r="D11" s="4" t="inlineStr"/>
      <c r="E11" s="4" t="inlineStr"/>
      <c r="F11" s="4" t="inlineStr">
        <is>
          <t>• Quels moyens sont mis en œuvre pour éviter, limiter, et/ou décarboner les déplacements ?</t>
        </is>
      </c>
      <c r="G11" s="4" t="inlineStr">
        <is>
          <t>Politique de voyages déplacements professionnels (priorisation des modes de transport, recours au télétravail et à la visioconférence, etc.)</t>
        </is>
      </c>
      <c r="H11" s="4" t="inlineStr">
        <is>
          <t>Stratégie (volontariste)</t>
        </is>
      </c>
      <c r="I11" s="4" t="inlineStr">
        <is>
          <t>- Transverse -</t>
        </is>
      </c>
      <c r="J11" s="4" t="inlineStr"/>
      <c r="K11" s="4" t="inlineStr">
        <is>
          <t>RFI/RFP</t>
        </is>
      </c>
      <c r="L11" s="4" t="inlineStr">
        <is>
          <t>1.1</t>
        </is>
      </c>
      <c r="M11" s="4" t="n">
        <v>10</v>
      </c>
    </row>
    <row r="12">
      <c r="A12" s="2" t="inlineStr">
        <is>
          <t>COM-Q-11</t>
        </is>
      </c>
      <c r="B12" s="2" t="inlineStr">
        <is>
          <t>Déplacement domicile / travail</t>
        </is>
      </c>
      <c r="C12" s="4" t="inlineStr">
        <is>
          <t>Mobilité des salariés domicile / travail</t>
        </is>
      </c>
      <c r="D12" s="4" t="inlineStr"/>
      <c r="E12" s="4" t="inlineStr"/>
      <c r="F12" s="4" t="inlineStr">
        <is>
          <t>• Quels moyens sont mis en œuvre pour éviter, limiter, et/ou décarboner les déplacements ?</t>
        </is>
      </c>
      <c r="G12" s="4" t="inlineStr">
        <is>
          <t>Démarche mobilité durable (forfait mobilité durable, covoiturage, ...)</t>
        </is>
      </c>
      <c r="H12" s="4" t="inlineStr"/>
      <c r="I12" s="4" t="inlineStr">
        <is>
          <t>- Transverse -</t>
        </is>
      </c>
      <c r="J12" s="4" t="inlineStr"/>
      <c r="K12" s="4" t="inlineStr">
        <is>
          <t>RFI/RFP</t>
        </is>
      </c>
      <c r="L12" s="4" t="inlineStr">
        <is>
          <t>1.1</t>
        </is>
      </c>
      <c r="M12" s="4" t="n">
        <v>10</v>
      </c>
    </row>
    <row r="13">
      <c r="A13" s="2" t="inlineStr">
        <is>
          <t>COM-Q-12</t>
        </is>
      </c>
      <c r="B13" s="2" t="inlineStr">
        <is>
          <t>Compensation CO2</t>
        </is>
      </c>
      <c r="C13" s="4" t="inlineStr"/>
      <c r="D13" s="4" t="inlineStr"/>
      <c r="E13" s="4" t="inlineStr"/>
      <c r="F13" s="4" t="inlineStr">
        <is>
          <t>• Quels sont les différents mécanismes de compensation carbone utilisés par les fournisseurs pour réduire l'empreinte carbone de leurs activités, et quelle est la trajectoire de réduction prévue ?</t>
        </is>
      </c>
      <c r="G13" s="4" t="inlineStr"/>
      <c r="H13" s="4" t="inlineStr"/>
      <c r="I13" s="4" t="inlineStr">
        <is>
          <t>- Transverse -</t>
        </is>
      </c>
      <c r="J13" s="4" t="inlineStr"/>
      <c r="K13" s="4" t="inlineStr">
        <is>
          <t>RFI/RFP</t>
        </is>
      </c>
      <c r="L13" s="4" t="inlineStr">
        <is>
          <t>1.1</t>
        </is>
      </c>
      <c r="M13" s="4" t="n">
        <v>10</v>
      </c>
    </row>
    <row r="14">
      <c r="A14" s="2" t="inlineStr">
        <is>
          <t>COM-Q-13</t>
        </is>
      </c>
      <c r="B14" s="2" t="inlineStr">
        <is>
          <t>Immunité Juridique et Souveraineté des Données</t>
        </is>
      </c>
      <c r="C14" s="4" t="inlineStr">
        <is>
          <t>Protection contre le Cloud Act (USA) ou lois similaires.</t>
        </is>
      </c>
      <c r="D14" s="4" t="inlineStr"/>
      <c r="E14" s="4" t="inlineStr"/>
      <c r="F14" s="4" t="inlineStr">
        <is>
          <t>Êtes-vous soumis à des lois extraterritoriales permettant à un État tiers d'accéder aux données hébergées ou traitées ?</t>
        </is>
      </c>
      <c r="G14" s="4" t="inlineStr">
        <is>
          <t>• Transparence totale sur la soumission aux lois extraterritoriales de toute la chaîne de valeur.
• Hébergement et support technique assurés exclusivement depuis l'Espace Économique Européen (EEE).
• Chiffrement des données au repos et en transit avec des algorithmes standards.</t>
        </is>
      </c>
      <c r="H14" s="4" t="inlineStr">
        <is>
          <t>• Immunité juridique Siège social, capital et gouvernance située à 100% dans l'UE.
• Labellisation SecNumCloud (ANSSI) ou qualification équivalente au niveau européen.</t>
        </is>
      </c>
      <c r="I14" s="4" t="inlineStr">
        <is>
          <t>- Transverse -</t>
        </is>
      </c>
      <c r="J14" s="4" t="inlineStr"/>
      <c r="K14" s="4" t="inlineStr">
        <is>
          <t>RFI/RFP</t>
        </is>
      </c>
      <c r="L14" s="4" t="inlineStr">
        <is>
          <t>1.1</t>
        </is>
      </c>
      <c r="M14" s="4" t="n">
        <v>10</v>
      </c>
    </row>
    <row r="15">
      <c r="A15" s="2" t="inlineStr">
        <is>
          <t>COM-Q-14</t>
        </is>
      </c>
      <c r="B15" s="2" t="inlineStr">
        <is>
          <t>Localisation des données &amp; traitements</t>
        </is>
      </c>
      <c r="C15" s="4" t="inlineStr">
        <is>
          <t>Pilier "Maîtrise des infrastructures"</t>
        </is>
      </c>
      <c r="D15" s="4" t="inlineStr"/>
      <c r="E15" s="4" t="inlineStr"/>
      <c r="F15" s="4" t="inlineStr">
        <is>
          <t>Où sont physiquement stockées et traitées les données (y compris les sauvegardes et les accès support) ?</t>
        </is>
      </c>
      <c r="G15" s="4" t="inlineStr">
        <is>
          <t>• Hébergement et traitements garantis au sein de l'Union Européenne (EEE).
• Support assuré par des équipes situées dans l'EEE ou disposant de clauses contractuelles types (CCT) validées.
• Recours à un hébergeur ayant son siège social dans l'EEE.
• Engagement à fournir les rapports d'audit SOC/ISO de l'hébergeur.</t>
        </is>
      </c>
      <c r="H15" s="4" t="inlineStr">
        <is>
          <t>• Hébergement et traitements garantis exclusivement sur le territoire de la République Française.
• Support technique assuré exclusivement par des équipes situées en France, sans aucun accès distant hors territoire national.</t>
        </is>
      </c>
      <c r="I15" s="4" t="inlineStr">
        <is>
          <t>- Transverse -</t>
        </is>
      </c>
      <c r="J15" s="4" t="inlineStr"/>
      <c r="K15" s="4" t="inlineStr">
        <is>
          <t>RFI/RFP</t>
        </is>
      </c>
      <c r="L15" s="4" t="inlineStr">
        <is>
          <t>1.1</t>
        </is>
      </c>
      <c r="M15" s="4" t="n">
        <v>11</v>
      </c>
    </row>
    <row r="16">
      <c r="A16" s="2" t="inlineStr">
        <is>
          <t>COM-Q-15</t>
        </is>
      </c>
      <c r="B16" s="2" t="inlineStr">
        <is>
          <t>Structure capitalistique</t>
        </is>
      </c>
      <c r="C16" s="4" t="inlineStr">
        <is>
          <t>Notion d'indépendance.</t>
        </is>
      </c>
      <c r="D16" s="4" t="inlineStr"/>
      <c r="E16" s="4" t="inlineStr"/>
      <c r="F16" s="4" t="inlineStr">
        <is>
          <t>Quelle est la part de capitaux non-européens dans votre structure actionnariale ?</t>
        </is>
      </c>
      <c r="G16" s="4" t="inlineStr">
        <is>
          <t>Identification claire des bénéficiaires effectifs.</t>
        </is>
      </c>
      <c r="H16" s="4" t="inlineStr">
        <is>
          <t>Actionnariat majoritaire européen.</t>
        </is>
      </c>
      <c r="I16" s="4" t="inlineStr">
        <is>
          <t>- Transverse -</t>
        </is>
      </c>
      <c r="J16" s="4" t="inlineStr"/>
      <c r="K16" s="4" t="inlineStr">
        <is>
          <t>RFI/RFP</t>
        </is>
      </c>
      <c r="L16" s="4" t="inlineStr">
        <is>
          <t>1.1</t>
        </is>
      </c>
      <c r="M16" s="4" t="n">
        <v>11</v>
      </c>
    </row>
    <row r="17">
      <c r="A17" s="2" t="inlineStr">
        <is>
          <t>COM-Q-16</t>
        </is>
      </c>
      <c r="B17" s="2" t="inlineStr">
        <is>
          <t>Justification et Frugalité du modèle d'IA</t>
        </is>
      </c>
      <c r="C17" s="4" t="inlineStr">
        <is>
          <t>« L'IA consomme énormément de ressources. Prouvez-nous que son utilisation soit indispensable pour ce service et que vous avez allégé l'algorithme au maximum pour limiter ses impacts »</t>
        </is>
      </c>
      <c r="D17" s="4" t="inlineStr"/>
      <c r="E17" s="4" t="inlineStr"/>
      <c r="F17" s="4" t="inlineStr">
        <is>
          <t>L'usage de l'IA est-il strictement justifié par le besoin par rapport à une solution logicielle classique ? Avez-vous appliqué des techniques d'optimisation (pruning, quantization) pour réduire l'impact ?</t>
        </is>
      </c>
      <c r="G17" s="4" t="inlineStr">
        <is>
          <t>Explication détaillée validant la pertinence de l'IA face aux alternatives classiques.</t>
        </is>
      </c>
      <c r="H17" s="4" t="inlineStr">
        <is>
          <t>Preuve d'implémentation de techniques d'optimisation adaptant la complexité au besoin.</t>
        </is>
      </c>
      <c r="I17" s="4" t="inlineStr">
        <is>
          <t>- Transverse -</t>
        </is>
      </c>
      <c r="J17" s="4" t="inlineStr"/>
      <c r="K17" s="4" t="inlineStr">
        <is>
          <t>RFI/RFP</t>
        </is>
      </c>
      <c r="L17" s="4" t="inlineStr">
        <is>
          <t>1.1</t>
        </is>
      </c>
      <c r="M17" s="4" t="n">
        <v>11</v>
      </c>
    </row>
    <row r="18">
      <c r="A18" s="2" t="inlineStr">
        <is>
          <t>COM-Q-17</t>
        </is>
      </c>
      <c r="B18" s="2" t="inlineStr">
        <is>
          <t>Éthique, biais et non-discrimination</t>
        </is>
      </c>
      <c r="C18" s="4" t="inlineStr">
        <is>
          <t>« Prouvez-nous, tests à l'appui, que votre IA ne reproduit pas de préjugés humains (par exemple, discriminer des usagers selon leur genre ou leur origine). »</t>
        </is>
      </c>
      <c r="D18" s="4" t="inlineStr"/>
      <c r="E18" s="4" t="inlineStr"/>
      <c r="F18" s="4" t="inlineStr">
        <is>
          <t>Comment veillez-vous à ce que les modèles d'IA ne discriminent pas les individus (race, sexe, âge) ? Quels tests anti-biais avez-vous mis en œuvre ?</t>
        </is>
      </c>
      <c r="G18" s="4" t="inlineStr">
        <is>
          <t>Transparence et explicabilité des décisions prises par l'IA garanties aux utilisateurs</t>
        </is>
      </c>
      <c r="H18" s="4" t="inlineStr">
        <is>
          <t>Résultats d'audits anti-biais fournis avec plan de remédiation documenté</t>
        </is>
      </c>
      <c r="I18" s="4" t="inlineStr">
        <is>
          <t>- Transverse -</t>
        </is>
      </c>
      <c r="J18" s="4" t="inlineStr"/>
      <c r="K18" s="4" t="inlineStr">
        <is>
          <t>RFI/RFP</t>
        </is>
      </c>
      <c r="L18" s="4" t="inlineStr">
        <is>
          <t>1.1</t>
        </is>
      </c>
      <c r="M18" s="4" t="n">
        <v>11</v>
      </c>
    </row>
    <row r="19">
      <c r="A19" s="2" t="inlineStr">
        <is>
          <t>COM-E-01</t>
        </is>
      </c>
      <c r="B19" s="2" t="inlineStr">
        <is>
          <t>Le TITULAIRE doit avoir une démarche RSE</t>
        </is>
      </c>
      <c r="C19" s="4" t="inlineStr"/>
      <c r="D19" s="4" t="inlineStr">
        <is>
          <t>Le Titulaire a mis en place une démarche RSE au sein de son Entreprise, et en fournit la preuve (certifications, labels
…). Attention dans le cadre de la commande publique, il convient d’être vigilant à ne pas solliciter ce type d’éléments, ceux-ci pouvant être susceptibles de caractériser une rupture du principe d’égalité de traitement entre les candidats</t>
        </is>
      </c>
      <c r="E19" s="4" t="inlineStr">
        <is>
          <t>Présentation d’un ou plusieurs certificats/labels durant toute la durée du contrat</t>
        </is>
      </c>
      <c r="F19" s="4" t="inlineStr"/>
      <c r="G19" s="4" t="inlineStr">
        <is>
          <t>Certification/labellisation existante durant toute la durée du contrat</t>
        </is>
      </c>
      <c r="H19" s="4" t="inlineStr"/>
      <c r="I19" s="4" t="inlineStr">
        <is>
          <t>- Transverse -</t>
        </is>
      </c>
      <c r="J19" s="4" t="inlineStr"/>
      <c r="K19" s="4" t="inlineStr">
        <is>
          <t>CCAP &amp; CCTP</t>
        </is>
      </c>
      <c r="L19" s="4" t="inlineStr">
        <is>
          <t>1.2</t>
        </is>
      </c>
      <c r="M19" s="4" t="n">
        <v>11</v>
      </c>
    </row>
    <row r="20">
      <c r="A20" s="2" t="inlineStr">
        <is>
          <t>COM-E-02</t>
        </is>
      </c>
      <c r="B20" s="2" t="inlineStr">
        <is>
          <t>Clause de formation au Numérique Responsable</t>
        </is>
      </c>
      <c r="C20" s="4" t="inlineStr"/>
      <c r="D20" s="4" t="inlineStr">
        <is>
          <t>Le Titulaire explicite les actions pour faire monter en compétence les intervenants en matière de numérique responsable (accessibilité numérique, écoconception des produits et services numériques, utilisation et intégration des IA …)</t>
        </is>
      </c>
      <c r="E20" s="4" t="inlineStr">
        <is>
          <t>Attestations de stage ou plan de formation des intervenants dans les pièces de l’offre</t>
        </is>
      </c>
      <c r="F20" s="4" t="inlineStr"/>
      <c r="G20" s="4" t="inlineStr">
        <is>
          <t>• Taux de professionnalisation de 70% : Chaque intervenant a suivi au moins une sensibilisation de base au NR.
• Formation IA Éthique &amp; Frugale : Sensibilisation des profils Data/Dev à l'IA éthique et frugale, avec communication d'une certification, d'une preuve de suivi ou équivalent.</t>
        </is>
      </c>
      <c r="H20" s="4" t="inlineStr">
        <is>
          <t>• Certifications individuelles reconnues : Détention de certifications type "Opquast" (niveau expert) ou "Certification NR" de l'INR par les profils cadres.
• Présence au sein de l'équipe d'un "Référent Numérique Responsable" certifié, chargé du tutorat des autres membres.
• Usage des référentiels : Capacité à démontrer l'utilisation opérationnelle du RGESN ou du GR491 dans les projets passés ou équivalent</t>
        </is>
      </c>
      <c r="I20" s="4" t="inlineStr">
        <is>
          <t>- Transverse -</t>
        </is>
      </c>
      <c r="J20" s="4" t="inlineStr"/>
      <c r="K20" s="4" t="inlineStr">
        <is>
          <t>CCAP &amp; CCTP</t>
        </is>
      </c>
      <c r="L20" s="4" t="inlineStr">
        <is>
          <t>1.2</t>
        </is>
      </c>
      <c r="M20" s="4" t="n">
        <v>12</v>
      </c>
    </row>
    <row r="21">
      <c r="A21" s="2" t="inlineStr">
        <is>
          <t>COM-E-03</t>
        </is>
      </c>
      <c r="B21" s="2" t="inlineStr">
        <is>
          <t>Le TITULAIRE doit mesurer l’empreinte carbone de la prestation effectuée et s’engager à la minimiser</t>
        </is>
      </c>
      <c r="C21" s="4" t="inlineStr"/>
      <c r="D21" s="4" t="inlineStr">
        <is>
          <t>Préciser la méthodologie et les hypothèses de calcul</t>
        </is>
      </c>
      <c r="E21" s="4" t="inlineStr">
        <is>
          <t>Fourniture de rapports de mesure de l’empreinte carbone de la prestation effectuée et une trajectoire de décarbonation</t>
        </is>
      </c>
      <c r="F21" s="4" t="inlineStr"/>
      <c r="G21" s="4" t="inlineStr">
        <is>
          <t>Pilotage de l’empreinte carbone et leviers de réduction</t>
        </is>
      </c>
      <c r="H21" s="4" t="inlineStr"/>
      <c r="I21" s="4" t="inlineStr">
        <is>
          <t>- Transverse -</t>
        </is>
      </c>
      <c r="J21" s="4" t="inlineStr"/>
      <c r="K21" s="4" t="inlineStr">
        <is>
          <t>CCAP &amp; CCTP</t>
        </is>
      </c>
      <c r="L21" s="4" t="inlineStr">
        <is>
          <t>1.2</t>
        </is>
      </c>
      <c r="M21" s="4" t="n">
        <v>12</v>
      </c>
    </row>
    <row r="22">
      <c r="A22" s="2" t="inlineStr">
        <is>
          <t>COM-E-04</t>
        </is>
      </c>
      <c r="B22" s="2" t="inlineStr">
        <is>
          <t>Garantie de non-accès tiers</t>
        </is>
      </c>
      <c r="C22" s="4" t="inlineStr"/>
      <c r="D22" s="4" t="inlineStr">
        <is>
          <t>Garantie qu'aucune autorité d'un pays tiers ne peut accéder aux données qualifiées de sensibles sans commission rogatoire internationale validée par un juge UE</t>
        </is>
      </c>
      <c r="E22" s="4" t="inlineStr">
        <is>
          <t>Clause contractuelle spécifique.</t>
        </is>
      </c>
      <c r="F22" s="4" t="inlineStr"/>
      <c r="G22" s="4" t="inlineStr">
        <is>
          <t>Zéro accès non autorisé administrativement.</t>
        </is>
      </c>
      <c r="H22" s="4" t="inlineStr"/>
      <c r="I22" s="4" t="inlineStr">
        <is>
          <t>- Transverse -</t>
        </is>
      </c>
      <c r="J22" s="4" t="inlineStr"/>
      <c r="K22" s="4" t="inlineStr">
        <is>
          <t>CCAP &amp; CCTP</t>
        </is>
      </c>
      <c r="L22" s="4" t="inlineStr">
        <is>
          <t>1.2</t>
        </is>
      </c>
      <c r="M22" s="4" t="n">
        <v>12</v>
      </c>
    </row>
    <row r="23">
      <c r="A23" s="2" t="inlineStr">
        <is>
          <t>COM-E-05</t>
        </is>
      </c>
      <c r="B23" s="2" t="inlineStr">
        <is>
          <t>Trajectoire de résilience</t>
        </is>
      </c>
      <c r="C23" s="4" t="inlineStr"/>
      <c r="D23" s="4" t="inlineStr">
        <is>
          <t>Maintien ou amélioration du niveau de résilience (IRN) et capacité à opérer en mode dégradé.</t>
        </is>
      </c>
      <c r="E23" s="4" t="inlineStr">
        <is>
          <t>Rapport annuel de résilience (incluant tests PCA/PRA).</t>
        </is>
      </c>
      <c r="F23" s="4" t="inlineStr"/>
      <c r="G23" s="4" t="inlineStr">
        <is>
          <t>Aucune régression du score. Tests de restauration réussis.</t>
        </is>
      </c>
      <c r="H23" s="4" t="inlineStr"/>
      <c r="I23" s="4" t="inlineStr">
        <is>
          <t>- Transverse -</t>
        </is>
      </c>
      <c r="J23" s="4" t="inlineStr"/>
      <c r="K23" s="4" t="inlineStr">
        <is>
          <t>CCAP &amp; CCTP</t>
        </is>
      </c>
      <c r="L23" s="4" t="inlineStr">
        <is>
          <t>1.2</t>
        </is>
      </c>
      <c r="M23" s="4" t="n">
        <v>12</v>
      </c>
    </row>
    <row r="24">
      <c r="A24" s="2" t="inlineStr">
        <is>
          <t>COM-E-06</t>
        </is>
      </c>
      <c r="B24" s="2" t="inlineStr">
        <is>
          <t>Cartographie des flux</t>
        </is>
      </c>
      <c r="C24" s="4" t="inlineStr"/>
      <c r="D24" s="4" t="inlineStr">
        <is>
          <t>Cartographie des flux de données (géographiques/applicatifs) incluant les sous-traitants.</t>
        </is>
      </c>
      <c r="E24" s="4" t="inlineStr">
        <is>
          <t>Cartographie des données et liste des sous-traitants (pays).</t>
        </is>
      </c>
      <c r="F24" s="4" t="inlineStr"/>
      <c r="G24" s="4" t="inlineStr">
        <is>
          <t>Mise à jour annuelle</t>
        </is>
      </c>
      <c r="H24" s="4" t="inlineStr"/>
      <c r="I24" s="4" t="inlineStr">
        <is>
          <t>- Transverse -</t>
        </is>
      </c>
      <c r="J24" s="4" t="inlineStr"/>
      <c r="K24" s="4" t="inlineStr">
        <is>
          <t>CCAP &amp; CCTP</t>
        </is>
      </c>
      <c r="L24" s="4" t="inlineStr">
        <is>
          <t>1.2</t>
        </is>
      </c>
      <c r="M24" s="4" t="n">
        <v>12</v>
      </c>
    </row>
    <row r="25">
      <c r="A25" s="2" t="inlineStr">
        <is>
          <t>COM-E-07</t>
        </is>
      </c>
      <c r="B25" s="2" t="inlineStr">
        <is>
          <t>Clause de responsabilité sociale et éthique de l'IA</t>
        </is>
      </c>
      <c r="C25" s="4" t="inlineStr"/>
      <c r="D25" s="4" t="inlineStr">
        <is>
          <t>Le Titulaire garantit que les systèmes d’intelligence artificielle (SIA) développés ou intégrés dans le cadre du Marché sont conçus et exploités de manière loyale, transparente et explicable.
• Lutte contre les biais : Le Titulaire s'engage à mettre en œuvre des protocoles de test rigoureux sur les données d'entraînement et les algorithmes pour identifier et neutraliser tout biais discriminatoire (genre, origine, handicap, etc.).
• Explicabilité : Le Titulaire doit être en mesure d'expliciter la logique de décision du modèle et de fournir un niveau de transparence adapté au niveau de risque du système selon la classification de l'IA Act.
• Impact Social : Le Titulaire s'engage à réaliser une évaluation régulière des impacts de la solution sur les droits fondamentaux et les conditions de travail des utilisateurs.</t>
        </is>
      </c>
      <c r="E25" s="4" t="inlineStr">
        <is>
          <t>• Rapport d'audit éthique et de non-discrimination : Document certifiant les tests de biais réalisés et les mesures correctives appliquées.
• Documentation technique d'explicabilité : Note expliquant le fonctionnement du modèle, les variables d'entrée majeures et les limites de l'algorithme.
• Analyse d'Impact sur les Droits Fondamentaux (FRIA) : Pour les systèmes à haut risque, conformément aux exigences de l'IA Act.</t>
        </is>
      </c>
      <c r="F25" s="4" t="inlineStr"/>
      <c r="G25" s="4" t="inlineStr">
        <is>
          <t>• Respect strict des obligations liées à la catégorie de risque du système (ex : marquage CE pour le haut risque).
• Fourniture d'une fiche d'information utilisateur claire sur l'usage d'une IA et ses finalités.
• Tests de robustesse sur des jeux de données représentatifs et non-discriminatoires.
• Garantie d'un mécanisme de "Human-in-the-loop" permettant à un opérateur d'outrepasser l'IA.</t>
        </is>
      </c>
      <c r="H25" s="4" t="inlineStr">
        <is>
          <t>• Application des critères "Haut Risque" même pour des systèmes à risque limité.
• Interface d'explicabilité (XAI) permettant à l'utilisateur final de comprendre "pourquoi" une décision a été prise.
• Certification GEEIS-AI ou audit par un cabinet tiers indépendant spécialisé en éthique algorithmique.
• Comité d'éthique dédié au projet incluant des experts externes et des représentants des parties prenantes.</t>
        </is>
      </c>
      <c r="I25" s="4" t="inlineStr">
        <is>
          <t>- Transverse -</t>
        </is>
      </c>
      <c r="J25" s="4" t="inlineStr"/>
      <c r="K25" s="4" t="inlineStr">
        <is>
          <t>CCAP &amp; CCTP</t>
        </is>
      </c>
      <c r="L25" s="4" t="inlineStr">
        <is>
          <t>1.2</t>
        </is>
      </c>
      <c r="M25" s="4" t="n">
        <v>12</v>
      </c>
    </row>
    <row r="26">
      <c r="A26" s="2" t="inlineStr">
        <is>
          <t>COM-E-08</t>
        </is>
      </c>
      <c r="B26" s="2" t="inlineStr">
        <is>
          <t>Maintien de la Frugalité</t>
        </is>
      </c>
      <c r="C26" s="4" t="inlineStr"/>
      <c r="D26" s="4" t="inlineStr">
        <is>
          <t>Engagement de non-augmentation de la complexité algorithmique sans gain métier prouvé. Protection contre l'obsolescence induite</t>
        </is>
      </c>
      <c r="E26" s="4" t="inlineStr">
        <is>
          <t>Notification technique préalable détaillant l'impact sur les ressources (CPU/RAM)</t>
        </is>
      </c>
      <c r="F26" s="4" t="inlineStr"/>
      <c r="G26" s="4" t="inlineStr">
        <is>
          <t>Possibilité de rester sur une version antérieure plus frugale.</t>
        </is>
      </c>
      <c r="H26" s="4" t="inlineStr">
        <is>
          <t>Garantie "Iso-ressources" : les mises à jour n'alourdissent pas la consommation énergétique.</t>
        </is>
      </c>
      <c r="I26" s="4" t="inlineStr">
        <is>
          <t>- Transverse -</t>
        </is>
      </c>
      <c r="J26" s="4" t="inlineStr"/>
      <c r="K26" s="4" t="inlineStr">
        <is>
          <t>CCAP &amp; CCTP</t>
        </is>
      </c>
      <c r="L26" s="4" t="inlineStr">
        <is>
          <t>1.2</t>
        </is>
      </c>
      <c r="M26" s="4" t="n">
        <v>13</v>
      </c>
    </row>
    <row r="27">
      <c r="A27" s="2" t="inlineStr">
        <is>
          <t>COM-E-09</t>
        </is>
      </c>
      <c r="B27" s="2" t="inlineStr">
        <is>
          <t>Stockage responsable</t>
        </is>
      </c>
      <c r="C27" s="4" t="inlineStr"/>
      <c r="D27" s="4" t="inlineStr">
        <is>
          <t>Mise en œuvre d'une architecture de stockage différenciée. Séparation technique des stockages "chauds" et "froids".</t>
        </is>
      </c>
      <c r="E27" s="4" t="inlineStr">
        <is>
          <t>Schéma d'architecture de stockage et politique de rétention.</t>
        </is>
      </c>
      <c r="F27" s="4" t="inlineStr"/>
      <c r="G27" s="4" t="inlineStr">
        <is>
          <t>Politique d'archivage automatique et suppression des données obsolètes.</t>
        </is>
      </c>
      <c r="H27" s="4" t="inlineStr">
        <is>
          <t>Stockage 100 % décarboné (centres de données à très faible PUE &lt; 1,2).</t>
        </is>
      </c>
      <c r="I27" s="4" t="inlineStr">
        <is>
          <t>- Transverse -</t>
        </is>
      </c>
      <c r="J27" s="4" t="inlineStr"/>
      <c r="K27" s="4" t="inlineStr">
        <is>
          <t>CCAP &amp; CCTP</t>
        </is>
      </c>
      <c r="L27" s="4" t="inlineStr">
        <is>
          <t>1.2</t>
        </is>
      </c>
      <c r="M27" s="4" t="n">
        <v>13</v>
      </c>
    </row>
    <row r="28">
      <c r="A28" s="2" t="inlineStr">
        <is>
          <t>COM-E-10</t>
        </is>
      </c>
      <c r="B28" s="2" t="inlineStr">
        <is>
          <t>Pilotage de la Localisation</t>
        </is>
      </c>
      <c r="C28" s="4" t="inlineStr"/>
      <c r="D28" s="4" t="inlineStr">
        <is>
          <t>Documentation précise de la localisation géographique des infrastructures pour évaluer l'intensité carbone locale.</t>
        </is>
      </c>
      <c r="E28" s="4" t="inlineStr">
        <is>
          <t>Cartographie annuelle des centres de données et indicateurs locaux.</t>
        </is>
      </c>
      <c r="F28" s="4" t="inlineStr"/>
      <c r="G28" s="4" t="inlineStr">
        <is>
          <t>Déclaration précise du pays et de la région d'hébergement.</t>
        </is>
      </c>
      <c r="H28" s="4" t="inlineStr">
        <is>
          <t>Interface de pilotage en temps réel avec choix de la localisation par l’ENTREPRISE.</t>
        </is>
      </c>
      <c r="I28" s="4" t="inlineStr">
        <is>
          <t>- Transverse -</t>
        </is>
      </c>
      <c r="J28" s="4" t="inlineStr"/>
      <c r="K28" s="4" t="inlineStr">
        <is>
          <t>CCAP &amp; CCTP</t>
        </is>
      </c>
      <c r="L28" s="4" t="inlineStr">
        <is>
          <t>1.2</t>
        </is>
      </c>
      <c r="M28" s="4" t="n">
        <v>13</v>
      </c>
    </row>
    <row r="29">
      <c r="A29" s="2" t="inlineStr">
        <is>
          <t>MAT-Q-01</t>
        </is>
      </c>
      <c r="B29" s="2" t="inlineStr">
        <is>
          <t>Écolabels/certification de produits</t>
        </is>
      </c>
      <c r="C29" s="4" t="inlineStr">
        <is>
          <t>Ordinateurs</t>
        </is>
      </c>
      <c r="D29" s="4" t="inlineStr"/>
      <c r="E29" s="4" t="inlineStr"/>
      <c r="F29"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29" s="4" t="inlineStr">
        <is>
          <t>EPEAT ou Energy star[1] ou équivalent
[1] https://www.energystar.gov/products/how-product-earns-energy-star-label</t>
        </is>
      </c>
      <c r="H29" s="4" t="inlineStr">
        <is>
          <t>EPEAT SILVER/GOLD et TCO[2] ou équivalent
[2] https://tcocertified.com/fr/product-finder/</t>
        </is>
      </c>
      <c r="I29" s="4" t="inlineStr">
        <is>
          <t>Matériels</t>
        </is>
      </c>
      <c r="J29" s="4" t="inlineStr">
        <is>
          <t>Bureautiques</t>
        </is>
      </c>
      <c r="K29" s="4" t="inlineStr">
        <is>
          <t>RFI/RFP</t>
        </is>
      </c>
      <c r="L29" s="4" t="inlineStr">
        <is>
          <t>2.1</t>
        </is>
      </c>
      <c r="M29" s="4" t="n">
        <v>15</v>
      </c>
    </row>
    <row r="30">
      <c r="A30" s="2" t="inlineStr">
        <is>
          <t>MAT-Q-02</t>
        </is>
      </c>
      <c r="B30" s="2" t="inlineStr">
        <is>
          <t>Écolabels/certification de produits</t>
        </is>
      </c>
      <c r="C30" s="4" t="inlineStr">
        <is>
          <t>Écran</t>
        </is>
      </c>
      <c r="D30" s="4" t="inlineStr"/>
      <c r="E30" s="4" t="inlineStr"/>
      <c r="F30"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30" s="4" t="inlineStr">
        <is>
          <t>EPEAT ou Energy star[3] ou équivalent
[3] https://www.energystar.gov/products/how-product-earns-energy-star-label</t>
        </is>
      </c>
      <c r="H30" s="4" t="inlineStr">
        <is>
          <t>EPEAT et TCO et Energy star ou équivalent</t>
        </is>
      </c>
      <c r="I30" s="4" t="inlineStr">
        <is>
          <t>Matériels</t>
        </is>
      </c>
      <c r="J30" s="4" t="inlineStr">
        <is>
          <t>Bureautiques</t>
        </is>
      </c>
      <c r="K30" s="4" t="inlineStr">
        <is>
          <t>RFI/RFP</t>
        </is>
      </c>
      <c r="L30" s="4" t="inlineStr">
        <is>
          <t>2.1</t>
        </is>
      </c>
      <c r="M30" s="4" t="n">
        <v>15</v>
      </c>
    </row>
    <row r="31">
      <c r="A31" s="2" t="inlineStr">
        <is>
          <t>MAT-Q-03</t>
        </is>
      </c>
      <c r="B31" s="2" t="inlineStr">
        <is>
          <t>Écolabels/certification de produits</t>
        </is>
      </c>
      <c r="C31" s="4" t="inlineStr">
        <is>
          <t>Imprimantes / Imprimantes Multifonctions</t>
        </is>
      </c>
      <c r="D31" s="4" t="inlineStr"/>
      <c r="E31" s="4" t="inlineStr"/>
      <c r="F31"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31" s="4" t="inlineStr">
        <is>
          <t>Blue Angel[4] ou Energy star ou équivalent
[4] https://www.blauer-engel.de/en/productworld/printers-and-multifunction-devices</t>
        </is>
      </c>
      <c r="H31" s="4" t="inlineStr">
        <is>
          <t>Blue Angel et
Energy star ou équivalent</t>
        </is>
      </c>
      <c r="I31" s="4" t="inlineStr">
        <is>
          <t>Matériels</t>
        </is>
      </c>
      <c r="J31" s="4" t="inlineStr">
        <is>
          <t>Bureautiques</t>
        </is>
      </c>
      <c r="K31" s="4" t="inlineStr">
        <is>
          <t>RFI/RFP</t>
        </is>
      </c>
      <c r="L31" s="4" t="inlineStr">
        <is>
          <t>2.1</t>
        </is>
      </c>
      <c r="M31" s="4" t="n">
        <v>15</v>
      </c>
    </row>
    <row r="32">
      <c r="A32" s="2" t="inlineStr">
        <is>
          <t>MAT-Q-04</t>
        </is>
      </c>
      <c r="B32" s="2" t="inlineStr">
        <is>
          <t>Écolabels/certification de produits</t>
        </is>
      </c>
      <c r="C32" s="4" t="inlineStr">
        <is>
          <t>Smartphones / Tablettes</t>
        </is>
      </c>
      <c r="D32" s="4" t="inlineStr"/>
      <c r="E32" s="4" t="inlineStr"/>
      <c r="F32"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32" s="4" t="inlineStr">
        <is>
          <t>EPEAT (niveau base) ou score de réparabilité &gt; 7/10 ou équivalent</t>
        </is>
      </c>
      <c r="H32" s="4" t="inlineStr">
        <is>
          <t>EPEAT SILVER/GOLD
Ou certification TCO Certified ou équivalent</t>
        </is>
      </c>
      <c r="I32" s="4" t="inlineStr">
        <is>
          <t>Matériels</t>
        </is>
      </c>
      <c r="J32" s="4" t="inlineStr">
        <is>
          <t>Bureautiques</t>
        </is>
      </c>
      <c r="K32" s="4" t="inlineStr">
        <is>
          <t>RFI/RFP</t>
        </is>
      </c>
      <c r="L32" s="4" t="inlineStr">
        <is>
          <t>2.1</t>
        </is>
      </c>
      <c r="M32" s="4" t="n">
        <v>15</v>
      </c>
    </row>
    <row r="33">
      <c r="A33" s="2" t="inlineStr">
        <is>
          <t>MAT-Q-05</t>
        </is>
      </c>
      <c r="B33" s="2" t="inlineStr">
        <is>
          <t>Écolabels/certification de produits</t>
        </is>
      </c>
      <c r="C33" s="4" t="inlineStr">
        <is>
          <t>Équipements en datacenter (serveurs, baies de stockage, réseaux, mainframe, …)</t>
        </is>
      </c>
      <c r="D33" s="4" t="inlineStr"/>
      <c r="E33" s="4" t="inlineStr"/>
      <c r="F33"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33" s="4" t="inlineStr">
        <is>
          <t>Certification E*nergy Star* ou EPEAT[5] BRONZE ou équivalent
[5] https://www.epeat.net/</t>
        </is>
      </c>
      <c r="H33" s="4" t="inlineStr">
        <is>
          <t>EPEAT SILVER/GOLD et TCO ou équivalent</t>
        </is>
      </c>
      <c r="I33" s="4" t="inlineStr">
        <is>
          <t>Matériels</t>
        </is>
      </c>
      <c r="J33" s="4" t="inlineStr">
        <is>
          <t>Data centers</t>
        </is>
      </c>
      <c r="K33" s="4" t="inlineStr">
        <is>
          <t>RFI/RFP</t>
        </is>
      </c>
      <c r="L33" s="4" t="inlineStr">
        <is>
          <t>2.1</t>
        </is>
      </c>
      <c r="M33" s="4" t="n">
        <v>15</v>
      </c>
    </row>
    <row r="34">
      <c r="A34" s="2" t="inlineStr">
        <is>
          <t>MAT-Q-06</t>
        </is>
      </c>
      <c r="B34" s="2" t="inlineStr">
        <is>
          <t>Écolabels/certification de produits</t>
        </is>
      </c>
      <c r="C34" s="4" t="inlineStr">
        <is>
          <t>Alimentation électrique</t>
        </is>
      </c>
      <c r="D34" s="4" t="inlineStr"/>
      <c r="E34" s="4" t="inlineStr"/>
      <c r="F34" s="4" t="inlineStr">
        <is>
          <t>• Pour chaque catégorie de matériel proposé (PC, écrans, serveurs, mobiles), quels sont les écolabels de type I (ISO 14024) dont bénéficient les équipements ?
• Comment garantissez-vous que le matériel fourni respecte les critères les plus stricts en matière de réduction des substances dangereuses et de durabilité (réparabilité, disponibilité des pièces) ?
• Quel est le niveau d'efficacité énergétique certifié pour les blocs d'alimentation et les composants actifs (CPU) des équipements livrés ?
• Quel processus mettez-vous en œuvre pour garantir que tout matériel de remplacement ou de montée en gamme en cours de contrat maintiendra ou dépassera ce niveau d'exigence ?</t>
        </is>
      </c>
      <c r="G34" s="4" t="inlineStr">
        <is>
          <t>Certification 80 PLUS BRONZE ou équivalent</t>
        </is>
      </c>
      <c r="H34" s="4" t="inlineStr">
        <is>
          <t>Certification 80 PLUS GOLD, PLATINIUM ou TITANIUM ou équivalent</t>
        </is>
      </c>
      <c r="I34" s="4" t="inlineStr">
        <is>
          <t>Matériels</t>
        </is>
      </c>
      <c r="J34" s="4" t="inlineStr">
        <is>
          <t>Data centers</t>
        </is>
      </c>
      <c r="K34" s="4" t="inlineStr">
        <is>
          <t>RFI/RFP</t>
        </is>
      </c>
      <c r="L34" s="4" t="inlineStr">
        <is>
          <t>2.1</t>
        </is>
      </c>
      <c r="M34" s="4" t="n">
        <v>15</v>
      </c>
    </row>
    <row r="35">
      <c r="A35" s="2" t="inlineStr">
        <is>
          <t>MAT-Q-07</t>
        </is>
      </c>
      <c r="B35" s="2" t="inlineStr">
        <is>
          <t>Performance énergétique - Efficacité énergétique</t>
        </is>
      </c>
      <c r="C35" s="4" t="inlineStr">
        <is>
          <t>Équipements en datacenter</t>
        </is>
      </c>
      <c r="D35" s="4" t="inlineStr"/>
      <c r="E35" s="4" t="inlineStr"/>
      <c r="F35" s="4" t="inlineStr">
        <is>
          <t>• Pour chaque type d'équipement mobilisé (serveurs, stockage, réseau), pouvez-vous fournir une matrice de consommation électrique détaillée incluant les trois états suivants : Pleine charge (100%), Charge nominale (50%) et Mode veille (Idle/Standby) ?
• Quel est le ratio entre la consommation en mode veille et la consommation en charge maximale pour vos équipements ? Comment ce ratio se compare-t-il aux standards de l'état de l'art (ex: Code de conduite européen sur les centres de données) ?
• Quel est le niveau de certification 80 PLUS des blocs d'alimentation (PSU) utilisés dans vos serveurs ? (Note : Le niveau Titanium est ici la cible d'excellence).
• Quelle est votre politique de renouvellement du matériel ? Comment garantissez-vous que les processeurs (CPU) utilisés offrent le meilleur ratio Performance/Watt disponible au moment de la mise en production ?
• Quelles sont les fonctionnalités de Power Management (gestion de l'énergie) activées nativement sur vos infrastructures pour réduire la consommation lors des phases de faible sollicitation ?
• Disposez-vous d'outils d'orchestration permettant la mise hors tension automatique ou la mise en sommeil profonde des nœuds de calcul non sollicités (lutte contre les "serveurs fantômes") ? Si oui, décrivez le fonctionnement.</t>
        </is>
      </c>
      <c r="G35" s="4" t="inlineStr">
        <is>
          <t>• Fourniture obligatoire des valeurs de consommation pleine charge / veille pour chaque équipement.
• Certification 80 PLUS Bronze ou équivalent au minimum pour tous les équipements datacenter.
• Présence de fonctionnalités natives de gestion d'énergie (mise en veille automatique des composants non sollicités).</t>
        </is>
      </c>
      <c r="H35" s="4" t="inlineStr">
        <is>
          <t>• Alimentations certifiées 80 PLUS PLATINIUM ou TITANIUM, ou équivalent (rendement &gt; 94%).
• Utilisation de processeurs de dernière génération avec un rapport performance/watt supérieur de 20% à la génération précédente.
• Engagement sur une consommation en veille ne dépassant pas 10% de la consommation en pleine charge.
• Équipements conçus pour fonctionner à des températures ambiantes plus élevées (permettant de réduire le besoin en climatisation du datacenter).</t>
        </is>
      </c>
      <c r="I35" s="4" t="inlineStr">
        <is>
          <t>Matériels</t>
        </is>
      </c>
      <c r="J35" s="4" t="inlineStr">
        <is>
          <t>Data centers</t>
        </is>
      </c>
      <c r="K35" s="4" t="inlineStr">
        <is>
          <t>RFI/RFP</t>
        </is>
      </c>
      <c r="L35" s="4" t="inlineStr">
        <is>
          <t>2.1</t>
        </is>
      </c>
      <c r="M35" s="4" t="n">
        <v>15</v>
      </c>
    </row>
    <row r="36">
      <c r="A36" s="2" t="inlineStr">
        <is>
          <t>MAT-Q-08</t>
        </is>
      </c>
      <c r="B36" s="2" t="inlineStr">
        <is>
          <t>Logistique Durable</t>
        </is>
      </c>
      <c r="C36" s="4" t="inlineStr"/>
      <c r="D36" s="4" t="inlineStr"/>
      <c r="E36" s="4" t="inlineStr"/>
      <c r="F36" s="4" t="inlineStr">
        <is>
          <t>Quelle est votre stratégie de décarbonation du transport et d’optimisation des flux (stock local, circuits courts, livraison groupée) ?</t>
        </is>
      </c>
      <c r="G36" s="4" t="inlineStr">
        <is>
          <t>Existence d’une charte logistique durable et d'un suivi des émissions liées au transport.</t>
        </is>
      </c>
      <c r="H36" s="4" t="inlineStr">
        <is>
          <t>Preuve de résultats chiffrés (ex: -15% d’émissions CO2 sur le transport) et recours à la mobilité douce pour le "dernier kilomètre".</t>
        </is>
      </c>
      <c r="I36" s="4" t="inlineStr">
        <is>
          <t>Matériels</t>
        </is>
      </c>
      <c r="J36" s="4" t="inlineStr">
        <is>
          <t>- Transverse -</t>
        </is>
      </c>
      <c r="K36" s="4" t="inlineStr">
        <is>
          <t>RFI/RFP</t>
        </is>
      </c>
      <c r="L36" s="4" t="inlineStr">
        <is>
          <t>2.1</t>
        </is>
      </c>
      <c r="M36" s="4" t="n">
        <v>16</v>
      </c>
    </row>
    <row r="37">
      <c r="A37" s="2" t="inlineStr">
        <is>
          <t>MAT-Q-09</t>
        </is>
      </c>
      <c r="B37" s="2" t="inlineStr">
        <is>
          <t>MCO &amp; Réparabilité</t>
        </is>
      </c>
      <c r="C37" s="4" t="inlineStr">
        <is>
          <t>Durée de la MCO</t>
        </is>
      </c>
      <c r="D37" s="4" t="inlineStr"/>
      <c r="E37" s="4" t="inlineStr"/>
      <c r="F37" s="4" t="inlineStr">
        <is>
          <t>Quelle est la durée contractuelle de maintien en condition opérationnelle (MCO) et de disponibilité des pièces ?</t>
        </is>
      </c>
      <c r="G37" s="4" t="inlineStr">
        <is>
          <t>5 ans minimum pour les laptops/fixes ; 3 ans pour tablettes/mobiles.</t>
        </is>
      </c>
      <c r="H37" s="4" t="inlineStr">
        <is>
          <t>7 ans de MCO et de disponibilité garantie des pièces détachées.</t>
        </is>
      </c>
      <c r="I37" s="4" t="inlineStr">
        <is>
          <t>Matériels</t>
        </is>
      </c>
      <c r="J37" s="4" t="inlineStr">
        <is>
          <t>- Transverse -</t>
        </is>
      </c>
      <c r="K37" s="4" t="inlineStr">
        <is>
          <t>RFI/RFP</t>
        </is>
      </c>
      <c r="L37" s="4" t="inlineStr">
        <is>
          <t>2.1</t>
        </is>
      </c>
      <c r="M37" s="4" t="n">
        <v>16</v>
      </c>
    </row>
    <row r="38">
      <c r="A38" s="2" t="inlineStr">
        <is>
          <t>MAT-Q-10</t>
        </is>
      </c>
      <c r="B38" s="2" t="inlineStr">
        <is>
          <t>MCO &amp; Réparabilité</t>
        </is>
      </c>
      <c r="C38" s="4" t="inlineStr">
        <is>
          <t>Indice de Réparabilité</t>
        </is>
      </c>
      <c r="D38" s="4" t="inlineStr"/>
      <c r="E38" s="4" t="inlineStr"/>
      <c r="F38" s="4" t="inlineStr">
        <is>
          <t>Quel est l’indice de réparabilité (officiel français) moyen des équipements proposés ?</t>
        </is>
      </c>
      <c r="G38" s="4" t="inlineStr">
        <is>
          <t>Moyenne &gt; 6,1/10 sur l'ensemble du lot.</t>
        </is>
      </c>
      <c r="H38" s="4" t="inlineStr">
        <is>
          <t>Moyenne &gt; 8,1/10 avec fourniture de guides de réparation en libre accès.</t>
        </is>
      </c>
      <c r="I38" s="4" t="inlineStr">
        <is>
          <t>Matériels</t>
        </is>
      </c>
      <c r="J38" s="4" t="inlineStr">
        <is>
          <t>Bureautiques</t>
        </is>
      </c>
      <c r="K38" s="4" t="inlineStr">
        <is>
          <t>RFI/RFP</t>
        </is>
      </c>
      <c r="L38" s="4" t="inlineStr">
        <is>
          <t>2.1</t>
        </is>
      </c>
      <c r="M38" s="4" t="n">
        <v>16</v>
      </c>
    </row>
    <row r="39">
      <c r="A39" s="2" t="inlineStr">
        <is>
          <t>MAT-Q-11</t>
        </is>
      </c>
      <c r="B39" s="2" t="inlineStr">
        <is>
          <t>Économie circulaire</t>
        </is>
      </c>
      <c r="C39" s="4" t="inlineStr">
        <is>
          <t>En cas de location de matériels</t>
        </is>
      </c>
      <c r="D39" s="4" t="inlineStr"/>
      <c r="E39" s="4" t="inlineStr"/>
      <c r="F39" s="4" t="inlineStr">
        <is>
          <t>Quel est le taux de matières recyclées intégrées et le processus de valorisation en fin de contrat ?</t>
        </is>
      </c>
      <c r="G39" s="4" t="inlineStr">
        <is>
          <t>Description du process de valorisation (reconditionnement/recyclage) formalisé.</t>
        </is>
      </c>
      <c r="H39" s="4" t="inlineStr">
        <is>
          <t>&gt; 30% d'aluminium ou plastique recyclé dans le produit neuf et 100% de réemploi via reconditionnement.</t>
        </is>
      </c>
      <c r="I39" s="4" t="inlineStr">
        <is>
          <t>Matériels</t>
        </is>
      </c>
      <c r="J39" s="4" t="inlineStr">
        <is>
          <t>- Transverse -</t>
        </is>
      </c>
      <c r="K39" s="4" t="inlineStr">
        <is>
          <t>RFI/RFP</t>
        </is>
      </c>
      <c r="L39" s="4" t="inlineStr">
        <is>
          <t>2.1</t>
        </is>
      </c>
      <c r="M39" s="4" t="n">
        <v>16</v>
      </c>
    </row>
    <row r="40">
      <c r="A40" s="2" t="inlineStr">
        <is>
          <t>MAT-Q-12</t>
        </is>
      </c>
      <c r="B40" s="2" t="inlineStr">
        <is>
          <t>Emballages écoconçu</t>
        </is>
      </c>
      <c r="C40" s="4" t="inlineStr">
        <is>
          <t>Nature des emballages utilisés pour la fourniture des produits objets du marché : recyclés, recyclables, mono-matériaux,
...</t>
        </is>
      </c>
      <c r="D40" s="4" t="inlineStr"/>
      <c r="E40" s="4" t="inlineStr"/>
      <c r="F40" s="4" t="inlineStr">
        <is>
          <t>Comment optimisez-vous vos emballages pour réduire les déchets et le vide sanitaire ?</t>
        </is>
      </c>
      <c r="G40" s="4" t="inlineStr">
        <is>
          <t>0% plastique à usage unique. Emballages 50% recyclés et 100% recyclables (mono-matériau).</t>
        </is>
      </c>
      <c r="H40" s="4" t="inlineStr">
        <is>
          <t>Volume de vide &lt; 20%. Emballages 100% issus de fibres recyclées et encres végétales.</t>
        </is>
      </c>
      <c r="I40" s="4" t="inlineStr">
        <is>
          <t>Matériels</t>
        </is>
      </c>
      <c r="J40" s="4" t="inlineStr">
        <is>
          <t>- Transverse -</t>
        </is>
      </c>
      <c r="K40" s="4" t="inlineStr">
        <is>
          <t>RFI/RFP</t>
        </is>
      </c>
      <c r="L40" s="4" t="inlineStr">
        <is>
          <t>2.1</t>
        </is>
      </c>
      <c r="M40" s="4" t="n">
        <v>16</v>
      </c>
    </row>
    <row r="41">
      <c r="A41" s="2" t="inlineStr">
        <is>
          <t>MAT-Q-13</t>
        </is>
      </c>
      <c r="B41" s="2" t="inlineStr">
        <is>
          <t>Conformité Santé (RoHS/REACH)</t>
        </is>
      </c>
      <c r="C41" s="4" t="inlineStr">
        <is>
          <t>En 2026, la simple conformité réglementaire est le "niveau zéro". Pour être réellement écoresponsable, il faut viser l'absence totale de certaines substances et la transparence sur la chaîne d'approvisionnement.</t>
        </is>
      </c>
      <c r="D41" s="4" t="inlineStr"/>
      <c r="E41" s="4" t="inlineStr"/>
      <c r="F41" s="4" t="inlineStr">
        <is>
          <t>• Pouvez-vous fournir un certificat de conformité RoHS-2 (ou RoHS-3 si applicable) pour chaque modèle de matériel proposé ?
• Fournissez-vous une déclaration de transparence sur la présence de substances extrêmement préoccupantes (SVHC) conformément au règlement REACH ?</t>
        </is>
      </c>
      <c r="G41" s="4" t="inlineStr">
        <is>
          <t>• Certification de conformité RoHS-2 pour 100% du matériel livré.
• Déclaration de présence/absence d'halogènes.
• Engagement écrit du fabricant.</t>
        </is>
      </c>
      <c r="H41" s="4" t="inlineStr">
        <is>
          <t>• RoHS-3 anticipé et absence de dérogation sur les substances critiques.
• Certification "Halogen-Free" complète sur les câbles et circuits imprimés.
• Accès à un Passeport Numérique de Produit (DPP) détaillant la composition chimique exacte.</t>
        </is>
      </c>
      <c r="I41" s="4" t="inlineStr">
        <is>
          <t>Matériels</t>
        </is>
      </c>
      <c r="J41" s="4" t="inlineStr">
        <is>
          <t>- Transverse -</t>
        </is>
      </c>
      <c r="K41" s="4" t="inlineStr">
        <is>
          <t>RFI/RFP</t>
        </is>
      </c>
      <c r="L41" s="4" t="inlineStr">
        <is>
          <t>2.1</t>
        </is>
      </c>
      <c r="M41" s="4" t="n">
        <v>17</v>
      </c>
    </row>
    <row r="42">
      <c r="A42" s="2" t="inlineStr">
        <is>
          <t>MAT-Q-14</t>
        </is>
      </c>
      <c r="B42" s="2" t="inlineStr">
        <is>
          <t>Santé (Ondes/DAS)</t>
        </is>
      </c>
      <c r="C42" s="4" t="inlineStr">
        <is>
          <t>Débit d’Absorption Spécifique (DAS), l'idée est de ne pas se contenter du respect de la loi (qui est un prérequis), mais d'imposer une recherche de minimisation de l'exposition des collaborateurs aux ondes électromagnétiques</t>
        </is>
      </c>
      <c r="D42" s="4" t="inlineStr"/>
      <c r="E42" s="4" t="inlineStr"/>
      <c r="F42" s="4" t="inlineStr">
        <is>
          <t>• Pouvez-vous fournir un tableau récapitulatif des indices DAS (Tête, Tronc, Membres) pour 100% des terminaux mobiles de votre catalogue ?
• Quelle est la valeur maximale du DAS "Tête" parmi les modèles que vous préconisez pour nos collaborateurs ?
• Disposez-vous d'un label tiers (type TCO Certified) garantissant que les tests de rayonnement ont été réalisés selon des protocoles plus stricts que la norme minimale ?
• Proposez-vous systématiquement des accessoires permettant de limiter l'exposition (ex: kits piétons filaires de haute qualité) ?</t>
        </is>
      </c>
      <c r="G42" s="4" t="inlineStr">
        <is>
          <t>• DAS Tête ≤ 1 W/kg.
• Affichage du DAS sur les fiches « produit ».
• Autodéclaration de conformité CE.</t>
        </is>
      </c>
      <c r="H42" s="4" t="inlineStr">
        <is>
          <t>• DAS Tête ≤ 0,6 W/kg (Excellence santé).
• Fourniture d'un guide de sensibilisation aux écogestes (usage du kit main libre, zones de réception).
• Certification par un laboratoire indépendant et marquage TCO Certified Generation 9 ou supérieure, ou équivalent.</t>
        </is>
      </c>
      <c r="I42" s="4" t="inlineStr">
        <is>
          <t>Matériels</t>
        </is>
      </c>
      <c r="J42" s="4" t="inlineStr">
        <is>
          <t>Bureautiques</t>
        </is>
      </c>
      <c r="K42" s="4" t="inlineStr">
        <is>
          <t>RFI/RFP</t>
        </is>
      </c>
      <c r="L42" s="4" t="inlineStr">
        <is>
          <t>2.1</t>
        </is>
      </c>
      <c r="M42" s="4" t="n">
        <v>17</v>
      </c>
    </row>
    <row r="43">
      <c r="A43" s="2" t="inlineStr">
        <is>
          <t>MAT-Q-15</t>
        </is>
      </c>
      <c r="B43" s="2" t="inlineStr">
        <is>
          <t>Inclusion (Logiciel)</t>
        </is>
      </c>
      <c r="C43" s="4" t="inlineStr">
        <is>
          <t>Compatibilité terminaux anciens</t>
        </is>
      </c>
      <c r="D43" s="4" t="inlineStr"/>
      <c r="E43" s="4" t="inlineStr"/>
      <c r="F43" s="4" t="inlineStr">
        <is>
          <t>Quelle est la durée de compatibilité ascendante pour garantir l'usage sur des terminaux anciens ?</t>
        </is>
      </c>
      <c r="G43" s="4" t="inlineStr">
        <is>
          <t>• Garantie de mises à jour de sécurité sur 5 ans.</t>
        </is>
      </c>
      <c r="H43" s="4" t="inlineStr">
        <is>
          <t>• Support logiciel étendu permettant l'usage fluide sur des OS de plus de 6 ans.</t>
        </is>
      </c>
      <c r="I43" s="4" t="inlineStr">
        <is>
          <t>Matériels</t>
        </is>
      </c>
      <c r="J43" s="4" t="inlineStr">
        <is>
          <t>- Transverse -</t>
        </is>
      </c>
      <c r="K43" s="4" t="inlineStr">
        <is>
          <t>RFI/RFP</t>
        </is>
      </c>
      <c r="L43" s="4" t="inlineStr">
        <is>
          <t>2.1</t>
        </is>
      </c>
      <c r="M43" s="4" t="n">
        <v>17</v>
      </c>
    </row>
    <row r="44">
      <c r="A44" s="2" t="inlineStr">
        <is>
          <t>MAT-Q-16</t>
        </is>
      </c>
      <c r="B44" s="2" t="inlineStr">
        <is>
          <t>Accessibilité (imprimantes multifonctions)</t>
        </is>
      </c>
      <c r="C44" s="4" t="inlineStr">
        <is>
          <t>Écran de l’imprimante multifonction (hauteur, clavier en braille. ?)</t>
        </is>
      </c>
      <c r="D44" s="4" t="inlineStr"/>
      <c r="E44" s="4" t="inlineStr"/>
      <c r="F44" s="4" t="inlineStr">
        <is>
          <t>Les interfaces physiques (imprimantes et imprimantes multifonctions) sont-elles adaptées à tous les usagers ?</t>
        </is>
      </c>
      <c r="G44" s="4" t="inlineStr">
        <is>
          <t>• Conformité aux normes PMR (hauteur écran) et touches physiques identifiables.</t>
        </is>
      </c>
      <c r="H44" s="4" t="inlineStr">
        <is>
          <t>• Interface vocale, clavier en braille et écran inclinable à 180°.</t>
        </is>
      </c>
      <c r="I44" s="4" t="inlineStr">
        <is>
          <t>Matériels</t>
        </is>
      </c>
      <c r="J44" s="4" t="inlineStr">
        <is>
          <t>Bureautiques</t>
        </is>
      </c>
      <c r="K44" s="4" t="inlineStr">
        <is>
          <t>RFI/RFP</t>
        </is>
      </c>
      <c r="L44" s="4" t="inlineStr">
        <is>
          <t>2.1</t>
        </is>
      </c>
      <c r="M44" s="4" t="n">
        <v>17</v>
      </c>
    </row>
    <row r="45">
      <c r="A45" s="2" t="inlineStr">
        <is>
          <t>MAT-Q-17</t>
        </is>
      </c>
      <c r="B45" s="2" t="inlineStr">
        <is>
          <t>Impact Social (ESS)</t>
        </is>
      </c>
      <c r="C45" s="4" t="inlineStr">
        <is>
          <t>En cas de location d’équipements</t>
        </is>
      </c>
      <c r="D45" s="4" t="inlineStr"/>
      <c r="E45" s="4" t="inlineStr"/>
      <c r="F45" s="4" t="inlineStr">
        <is>
          <t>Quel est votre recours aux structures de l'insertion ou du handicap (EA/ESAT) pour la gestion du parc ?</t>
        </is>
      </c>
      <c r="G45" s="4" t="inlineStr">
        <is>
          <t>• Politique d'inclusion formalisée et preuve d'existence de partenariats.</t>
        </is>
      </c>
      <c r="H45" s="4" t="inlineStr">
        <is>
          <t>• &gt; 10% du montant du contrat confié à des structures de l'ESS ou de l'insertion.</t>
        </is>
      </c>
      <c r="I45" s="4" t="inlineStr">
        <is>
          <t>Matériels</t>
        </is>
      </c>
      <c r="J45" s="4" t="inlineStr">
        <is>
          <t>- Transverse -</t>
        </is>
      </c>
      <c r="K45" s="4" t="inlineStr">
        <is>
          <t>RFI/RFP</t>
        </is>
      </c>
      <c r="L45" s="4" t="inlineStr">
        <is>
          <t>2.1</t>
        </is>
      </c>
      <c r="M45" s="4" t="n">
        <v>17</v>
      </c>
    </row>
    <row r="46">
      <c r="A46" s="2" t="inlineStr">
        <is>
          <t>MAT-E-01</t>
        </is>
      </c>
      <c r="B46" s="2" t="inlineStr">
        <is>
          <t>Écoconception &amp; Labels</t>
        </is>
      </c>
      <c r="C46" s="4" t="inlineStr"/>
      <c r="D46" s="4" t="inlineStr">
        <is>
          <t>« Le Titulaire s'engage à fournir des équipements disposant d'un écolabel de type I (EPEAT, TCO, Blue Angel ou équivalent) attestant de la réduction des impacts environnementaux sur l'ensemble du cycle de vie. »</t>
        </is>
      </c>
      <c r="E46" s="4" t="inlineStr">
        <is>
          <t>Mise à disposition de la certification des matériels via une attestation / rapport pendant toute la durée de vie du marché</t>
        </is>
      </c>
      <c r="F46" s="4" t="inlineStr"/>
      <c r="G46" s="4" t="inlineStr">
        <is>
          <t>Certificats officiels en cours de validité</t>
        </is>
      </c>
      <c r="H46" s="4" t="inlineStr">
        <is>
          <t>Niveau "Gold" ou "Excellent" pour 100 % du catalogue.</t>
        </is>
      </c>
      <c r="I46" s="4" t="inlineStr">
        <is>
          <t>Matériels</t>
        </is>
      </c>
      <c r="J46" s="4" t="inlineStr">
        <is>
          <t>Bureautiques</t>
        </is>
      </c>
      <c r="K46" s="4" t="inlineStr">
        <is>
          <t>CCAP &amp; CCTP</t>
        </is>
      </c>
      <c r="L46" s="4" t="inlineStr">
        <is>
          <t>2.2</t>
        </is>
      </c>
      <c r="M46" s="4" t="n">
        <v>18</v>
      </c>
    </row>
    <row r="47">
      <c r="A47" s="2" t="inlineStr">
        <is>
          <t>MAT-E-02</t>
        </is>
      </c>
      <c r="B47" s="2" t="inlineStr">
        <is>
          <t>Bilan Carbone (ACV)</t>
        </is>
      </c>
      <c r="C47" s="4" t="inlineStr"/>
      <c r="D47" s="4" t="inlineStr">
        <is>
          <t>« Le Titulaire doit fournir, pour chaque gamme de matériel proposée, une Analyse de Cycle de Vie (ACV) complète détaillant l'impact carbone (en CO2e) de la phase de fabrication. »</t>
        </is>
      </c>
      <c r="E47" s="4" t="inlineStr">
        <is>
          <t>Fourniture de l’attestation / rapport pendant toute la durée de vie du marché</t>
        </is>
      </c>
      <c r="F47" s="4" t="inlineStr"/>
      <c r="G47" s="4" t="inlineStr">
        <is>
          <t>Rapport ACV conforme aux normes ISO 14040/14044.</t>
        </is>
      </c>
      <c r="H47" s="4" t="inlineStr">
        <is>
          <t>Mise à disposition des données via un fichier structuré (JSON/CSV) pour l'outil de pilotage de l'acheteur.</t>
        </is>
      </c>
      <c r="I47" s="4" t="inlineStr">
        <is>
          <t>Matériels</t>
        </is>
      </c>
      <c r="J47" s="4" t="inlineStr">
        <is>
          <t>- Transverse -</t>
        </is>
      </c>
      <c r="K47" s="4" t="inlineStr">
        <is>
          <t>CCAP &amp; CCTP</t>
        </is>
      </c>
      <c r="L47" s="4" t="inlineStr">
        <is>
          <t>2.2</t>
        </is>
      </c>
      <c r="M47" s="4" t="n">
        <v>18</v>
      </c>
    </row>
    <row r="48">
      <c r="A48" s="2" t="inlineStr">
        <is>
          <t>MAT-E-03</t>
        </is>
      </c>
      <c r="B48" s="2" t="inlineStr">
        <is>
          <t>Performance Énergétique</t>
        </is>
      </c>
      <c r="C48" s="4" t="inlineStr"/>
      <c r="D48" s="4" t="inlineStr">
        <is>
          <t>« Les équipements fournis doivent minimiser leur consommation électrique en usage. Les serveurs doivent impérativement respecter les classes de température ASHRAE. »</t>
        </is>
      </c>
      <c r="E48" s="4" t="inlineStr">
        <is>
          <t>Fourniture de l’attestation / rapport pendant toute la durée de vie du marché</t>
        </is>
      </c>
      <c r="F48" s="4" t="inlineStr"/>
      <c r="G48" s="4" t="inlineStr">
        <is>
          <t>Fiches techniques attestant de la certification Energy Star ou équivalent et de la classe ASHRAE A3.</t>
        </is>
      </c>
      <c r="H48" s="4" t="inlineStr">
        <is>
          <t>Certification ASHRAE A4 et rapport de mesure de consommation en charge réelle.</t>
        </is>
      </c>
      <c r="I48" s="4" t="inlineStr">
        <is>
          <t>Matériels</t>
        </is>
      </c>
      <c r="J48" s="4" t="inlineStr">
        <is>
          <t>Data centers</t>
        </is>
      </c>
      <c r="K48" s="4" t="inlineStr">
        <is>
          <t>CCAP &amp; CCTP</t>
        </is>
      </c>
      <c r="L48" s="4" t="inlineStr">
        <is>
          <t>2.2</t>
        </is>
      </c>
      <c r="M48" s="4" t="n">
        <v>18</v>
      </c>
    </row>
    <row r="49">
      <c r="A49" s="2" t="inlineStr">
        <is>
          <t>MAT-E-04</t>
        </is>
      </c>
      <c r="B49" s="2" t="inlineStr">
        <is>
          <t>Indice de Réparabilité</t>
        </is>
      </c>
      <c r="C49" s="4" t="inlineStr"/>
      <c r="D49" s="4" t="inlineStr">
        <is>
          <t>« Le Titulaire garantit la durabilité des produits via un indice de réparabilité élevé et l'engagement de fourniture de pièces détachées sur la durée du marché. »</t>
        </is>
      </c>
      <c r="E49" s="4" t="inlineStr">
        <is>
          <t>Fourniture de la certification (ré)évaluée depuis moins de 12 mois (durée modifiable selon les marchés)</t>
        </is>
      </c>
      <c r="F49" s="4" t="inlineStr"/>
      <c r="G49" s="4" t="inlineStr">
        <is>
          <t>Note de l’indice de réparabilité officielle &gt; 6/10.</t>
        </is>
      </c>
      <c r="H49" s="4" t="inlineStr">
        <is>
          <t>Note &gt; 8/10 et engagement écrit de disponibilité des pièces sur 7 ans.</t>
        </is>
      </c>
      <c r="I49" s="4" t="inlineStr">
        <is>
          <t>Matériels</t>
        </is>
      </c>
      <c r="J49" s="4" t="inlineStr">
        <is>
          <t>Bureautiques</t>
        </is>
      </c>
      <c r="K49" s="4" t="inlineStr">
        <is>
          <t>CCAP &amp; CCTP</t>
        </is>
      </c>
      <c r="L49" s="4" t="inlineStr">
        <is>
          <t>2.2</t>
        </is>
      </c>
      <c r="M49" s="4" t="n">
        <v>18</v>
      </c>
    </row>
    <row r="50">
      <c r="A50" s="2" t="inlineStr">
        <is>
          <t>MAT-E-05</t>
        </is>
      </c>
      <c r="B50" s="2" t="inlineStr">
        <is>
          <t>Fin de vie &amp; Réemploi</t>
        </is>
      </c>
      <c r="C50" s="4" t="inlineStr"/>
      <c r="D50" s="4" t="inlineStr">
        <is>
          <t>• « Le Titulaire doit mettre en place un processus de reprise du matériel en fin de contrat favorisant le réemploi et l'économie circulaire locale. »</t>
        </is>
      </c>
      <c r="E50" s="4" t="inlineStr">
        <is>
          <t>Rapport de traçabilité annuel certifiant le taux de réemploi et l'effacement sécurisé des données pour le Niveau 1, couplé à une convention de partenariat ESS et un bilan d'impact social (heures d'insertion) pour le Niveau 2.</t>
        </is>
      </c>
      <c r="F50" s="4" t="inlineStr"/>
      <c r="G50" s="4" t="inlineStr">
        <is>
          <t>Description du processus de reprise et engagement de 80 % minimum de réemploi.</t>
        </is>
      </c>
      <c r="H50" s="4" t="inlineStr">
        <is>
          <t>Attestation de partenariat avec une Entreprise Adaptée (EA) ou de l'ESS pour le reconditionnement.</t>
        </is>
      </c>
      <c r="I50" s="4" t="inlineStr">
        <is>
          <t>Matériels</t>
        </is>
      </c>
      <c r="J50" s="4" t="inlineStr">
        <is>
          <t>- Transverse -</t>
        </is>
      </c>
      <c r="K50" s="4" t="inlineStr">
        <is>
          <t>CCAP &amp; CCTP</t>
        </is>
      </c>
      <c r="L50" s="4" t="inlineStr">
        <is>
          <t>2.2</t>
        </is>
      </c>
      <c r="M50" s="4" t="n">
        <v>18</v>
      </c>
    </row>
    <row r="51">
      <c r="A51" s="2" t="inlineStr">
        <is>
          <t>MAT-E-06</t>
        </is>
      </c>
      <c r="B51" s="2" t="inlineStr">
        <is>
          <t>Substances Dangereuses (REACH/RoHS)</t>
        </is>
      </c>
      <c r="C51" s="4" t="inlineStr"/>
      <c r="D51" s="4" t="inlineStr">
        <is>
          <t>« Le Titulaire garantit que 100 % des équipements fournis sont exempts de substances nocives, conformément aux réglementations REACH et RoHS, afin de protéger la santé des utilisateurs et l'environnement. »</t>
        </is>
      </c>
      <c r="E51" s="4" t="inlineStr">
        <is>
          <t>Certificats officiels de conformité RoHS/REACH (Niveau 1) et rapports de composition "Halogen-Free" (Niveau 2).</t>
        </is>
      </c>
      <c r="F51" s="4" t="inlineStr"/>
      <c r="G51" s="4" t="inlineStr">
        <is>
          <t>Certificats RoHS niveau 2 a minima et attestation de conformité REACH pour chaque matériel.</t>
        </is>
      </c>
      <c r="H51" s="4" t="inlineStr">
        <is>
          <t>Certification "Zero Halogen" et absence totale de PVC/Retardateurs de flamme bromés.</t>
        </is>
      </c>
      <c r="I51" s="4" t="inlineStr">
        <is>
          <t>Matériels</t>
        </is>
      </c>
      <c r="J51" s="4" t="inlineStr">
        <is>
          <t>- Transverse -</t>
        </is>
      </c>
      <c r="K51" s="4" t="inlineStr">
        <is>
          <t>CCAP &amp; CCTP</t>
        </is>
      </c>
      <c r="L51" s="4" t="inlineStr">
        <is>
          <t>2.2</t>
        </is>
      </c>
      <c r="M51" s="4" t="n">
        <v>18</v>
      </c>
    </row>
    <row r="52">
      <c r="A52" s="2" t="inlineStr">
        <is>
          <t>MAT-E-07</t>
        </is>
      </c>
      <c r="B52" s="2" t="inlineStr">
        <is>
          <t>Seconde vie (Réemploi)</t>
        </is>
      </c>
      <c r="C52" s="4" t="inlineStr"/>
      <c r="D52" s="4" t="inlineStr">
        <is>
          <t>« Le Titulaire s'engage activement dans l'économie circulaire en garantissant la traçabilité et le reconditionnement systématique du matériel restitué en fin de contrat ou de location. »</t>
        </is>
      </c>
      <c r="E52" s="4" t="inlineStr">
        <is>
          <t>Rapport annuel de traçabilité (réemploi/effacement/recyclage) et convention de partenariat ESS avec bilan d'impact social (Niveau 2).</t>
        </is>
      </c>
      <c r="F52" s="4" t="inlineStr"/>
      <c r="G52" s="4" t="inlineStr">
        <is>
          <t>Note méthodologique sur le processus de reprise + Rapport de traçabilité annuel (cible 80 % minimum de réemploi).</t>
        </is>
      </c>
      <c r="H52" s="4" t="inlineStr">
        <is>
          <t>Convention de partenariat avec l'ESS/EA + Bilan d'impact social (heures d'insertion générées).</t>
        </is>
      </c>
      <c r="I52" s="4" t="inlineStr">
        <is>
          <t>Matériels</t>
        </is>
      </c>
      <c r="J52" s="4" t="inlineStr">
        <is>
          <t>- Transverse -</t>
        </is>
      </c>
      <c r="K52" s="4" t="inlineStr">
        <is>
          <t>CCAP &amp; CCTP</t>
        </is>
      </c>
      <c r="L52" s="4" t="inlineStr">
        <is>
          <t>2.2</t>
        </is>
      </c>
      <c r="M52" s="4" t="n">
        <v>19</v>
      </c>
    </row>
    <row r="53">
      <c r="A53" s="2" t="inlineStr">
        <is>
          <t>CLD-Q-01</t>
        </is>
      </c>
      <c r="B53" s="2" t="inlineStr">
        <is>
          <t>PUE</t>
        </is>
      </c>
      <c r="C53" s="4" t="inlineStr"/>
      <c r="D53" s="4" t="inlineStr">
        <is>
          <t>L'efficience du refroidissement et de l'alimentation (Cible : se rapprocher de 1).</t>
        </is>
      </c>
      <c r="E53" s="4" t="inlineStr"/>
      <c r="F53" s="4" t="inlineStr">
        <is>
          <t>Quel est le PUE moyen de vos centres de données sur les 12 derniers mois ? Quelle est la méthodologie de calcul (ISO/IEC 30134-2) ?</t>
        </is>
      </c>
      <c r="G53" s="4" t="inlineStr">
        <is>
          <t>PUE &lt; 1,4 (ou justification si Tier III/IV).</t>
        </is>
      </c>
      <c r="H53" s="4" t="inlineStr">
        <is>
          <t>PUE &lt; 1,2 (climat frais) ou &lt; 1,3 (climat chaud). Engagement de réduction annuelle.</t>
        </is>
      </c>
      <c r="I53" s="4" t="inlineStr">
        <is>
          <t>Services cloud</t>
        </is>
      </c>
      <c r="J53" s="4" t="inlineStr"/>
      <c r="K53" s="4" t="inlineStr">
        <is>
          <t>RFI/RFP</t>
        </is>
      </c>
      <c r="L53" s="4" t="inlineStr">
        <is>
          <t>3.2</t>
        </is>
      </c>
      <c r="M53" s="4" t="n">
        <v>20</v>
      </c>
    </row>
    <row r="54">
      <c r="A54" s="2" t="inlineStr">
        <is>
          <t>CLD-Q-02</t>
        </is>
      </c>
      <c r="B54" s="2" t="inlineStr">
        <is>
          <t>WUE</t>
        </is>
      </c>
      <c r="C54" s="4" t="inlineStr"/>
      <c r="D54" s="4" t="inlineStr">
        <is>
          <t>La consommation d'eau potable pour le refroidissement, une ressource de plus en plus critique.</t>
        </is>
      </c>
      <c r="E54" s="4" t="inlineStr"/>
      <c r="F54" s="4" t="inlineStr">
        <is>
          <t>Quels volumes d'eau sont prélevés et consommés ? Utilisez-vous des circuits fermés ou de l'eau recyclée ?</t>
        </is>
      </c>
      <c r="G54" s="4" t="inlineStr">
        <is>
          <t>Déclaration transparente du WUE et du type de source d'eau.</t>
        </is>
      </c>
      <c r="H54" s="4" t="inlineStr">
        <is>
          <t>Zéro prélèvement d'eau potable (utilisation de free cooling ou eaux grises).</t>
        </is>
      </c>
      <c r="I54" s="4" t="inlineStr">
        <is>
          <t>Services cloud</t>
        </is>
      </c>
      <c r="J54" s="4" t="inlineStr"/>
      <c r="K54" s="4" t="inlineStr">
        <is>
          <t>RFI/RFP</t>
        </is>
      </c>
      <c r="L54" s="4" t="inlineStr">
        <is>
          <t>3.2</t>
        </is>
      </c>
      <c r="M54" s="4" t="n">
        <v>20</v>
      </c>
    </row>
    <row r="55">
      <c r="A55" s="2" t="inlineStr">
        <is>
          <t>CLD-Q-03</t>
        </is>
      </c>
      <c r="B55" s="2" t="inlineStr">
        <is>
          <t>CUE</t>
        </is>
      </c>
      <c r="C55" s="4" t="inlineStr"/>
      <c r="D55" s="4" t="inlineStr">
        <is>
          <t>Le contenu CO2 de chaque kWh consommé (dépend du mix énergétique).</t>
        </is>
      </c>
      <c r="E55" s="4" t="inlineStr"/>
      <c r="F55" s="4" t="inlineStr">
        <is>
          <t>Quel est le CUE de vos centres de données ? Quelle est la part d'ENR (énergies renouvelables) en Location-based (réel local) vs Market-based ?</t>
        </is>
      </c>
      <c r="G55" s="4" t="inlineStr">
        <is>
          <t>Fourniture du bilan carbone Scopes 1, 2 et 3 lié au service acheté.</t>
        </is>
      </c>
      <c r="H55" s="4" t="inlineStr">
        <is>
          <t>100 % ENR additionnelles (investissement direct dans de nouvelles capacités de production locale).</t>
        </is>
      </c>
      <c r="I55" s="4" t="inlineStr">
        <is>
          <t>Services cloud</t>
        </is>
      </c>
      <c r="J55" s="4" t="inlineStr"/>
      <c r="K55" s="4" t="inlineStr">
        <is>
          <t>RFI/RFP</t>
        </is>
      </c>
      <c r="L55" s="4" t="inlineStr">
        <is>
          <t>3.2</t>
        </is>
      </c>
      <c r="M55" s="4" t="n">
        <v>20</v>
      </c>
    </row>
    <row r="56">
      <c r="A56" s="2" t="inlineStr">
        <is>
          <t>CLD-Q-04</t>
        </is>
      </c>
      <c r="B56" s="2" t="inlineStr">
        <is>
          <t>Transparence &amp; Souveraineté</t>
        </is>
      </c>
      <c r="C56" s="4" t="inlineStr"/>
      <c r="D56" s="4" t="inlineStr">
        <is>
          <t>La localisation physique et le cadre juridique des données.</t>
        </is>
      </c>
      <c r="E56" s="4" t="inlineStr"/>
      <c r="F56" s="4" t="inlineStr">
        <is>
          <t>Dans quels pays et régions exactes mes données sont-elles stockées et traitées ? Quel est le taux de latence pour l’accès aux données ?</t>
        </is>
      </c>
      <c r="G56" s="4" t="inlineStr">
        <is>
          <t>Liste précise des datacenters et conformité RGPD.</t>
        </is>
      </c>
      <c r="H56" s="4" t="inlineStr">
        <is>
          <t>Hébergement en Europe (ou France) pour minimiser l'impact réseau et garantir la souveraineté.</t>
        </is>
      </c>
      <c r="I56" s="4" t="inlineStr">
        <is>
          <t>Services cloud</t>
        </is>
      </c>
      <c r="J56" s="4" t="inlineStr"/>
      <c r="K56" s="4" t="inlineStr">
        <is>
          <t>RFI/RFP</t>
        </is>
      </c>
      <c r="L56" s="4" t="inlineStr">
        <is>
          <t>3.2</t>
        </is>
      </c>
      <c r="M56" s="4" t="n">
        <v>20</v>
      </c>
    </row>
    <row r="57">
      <c r="A57" s="2" t="inlineStr">
        <is>
          <t>CLD-Q-05</t>
        </is>
      </c>
      <c r="B57" s="2" t="inlineStr">
        <is>
          <t>Impact Social &amp; Économie Circulaire</t>
        </is>
      </c>
      <c r="C57" s="4" t="inlineStr"/>
      <c r="D57" s="4" t="inlineStr">
        <is>
          <t>Le recours au reconditionné et l'insertion par l'emploi (ESS).</t>
        </is>
      </c>
      <c r="E57" s="4" t="inlineStr"/>
      <c r="F57" s="4" t="inlineStr">
        <is>
          <t>Quelle est la part de matériel reconditionné dans vos infrastructures ? Travaillez-vous avec des structures de l'ESS pour la fin de vie ?</t>
        </is>
      </c>
      <c r="G57" s="4" t="inlineStr">
        <is>
          <t>Engagement de maintenance préventive pour prolonger la durée de vie des serveurs.</t>
        </is>
      </c>
      <c r="H57" s="4" t="inlineStr">
        <is>
          <t>15 % minimum de composants reconditionnés ou recours à des entreprises d'insertion pour le recyclage.</t>
        </is>
      </c>
      <c r="I57" s="4" t="inlineStr">
        <is>
          <t>Services cloud</t>
        </is>
      </c>
      <c r="J57" s="4" t="inlineStr"/>
      <c r="K57" s="4" t="inlineStr">
        <is>
          <t>RFI/RFP</t>
        </is>
      </c>
      <c r="L57" s="4" t="inlineStr">
        <is>
          <t>3.2</t>
        </is>
      </c>
      <c r="M57" s="4" t="n">
        <v>20</v>
      </c>
    </row>
    <row r="58">
      <c r="A58" s="2" t="inlineStr">
        <is>
          <t>CLD-Q-06</t>
        </is>
      </c>
      <c r="B58" s="2" t="inlineStr">
        <is>
          <t>Réversibilité</t>
        </is>
      </c>
      <c r="C58" s="4" t="inlineStr"/>
      <c r="D58" s="4" t="inlineStr">
        <is>
          <t>Éviter le "Lock-in" (dépendance) et garantir le droit à la sortie conformément au Data Act.</t>
        </is>
      </c>
      <c r="E58" s="4" t="inlineStr"/>
      <c r="F58" s="4" t="inlineStr">
        <is>
          <t>Garantissez-vous une réversibilité sans coûts prohibitifs, sous formats standards et lisibles ?</t>
        </is>
      </c>
      <c r="G58" s="4" t="inlineStr">
        <is>
          <t>Plan de réversibilité standard inclus. Préavis de résiliation de 2 mois.</t>
        </is>
      </c>
      <c r="H58" s="4" t="inlineStr">
        <is>
          <t>Réversibilité automatisée et sans frais de sortie de données (Egress fees).</t>
        </is>
      </c>
      <c r="I58" s="4" t="inlineStr">
        <is>
          <t>Services cloud</t>
        </is>
      </c>
      <c r="J58" s="4" t="inlineStr"/>
      <c r="K58" s="4" t="inlineStr">
        <is>
          <t>RFI/RFP</t>
        </is>
      </c>
      <c r="L58" s="4" t="inlineStr">
        <is>
          <t>3.2</t>
        </is>
      </c>
      <c r="M58" s="4" t="n">
        <v>20</v>
      </c>
    </row>
    <row r="59">
      <c r="A59" s="2" t="inlineStr">
        <is>
          <t>CLD-Q-07</t>
        </is>
      </c>
      <c r="B59" s="2" t="inlineStr">
        <is>
          <t>Souveraineté du Support</t>
        </is>
      </c>
      <c r="C59" s="4" t="inlineStr"/>
      <c r="D59" s="4" t="inlineStr">
        <is>
          <t>Protéger les données contre les lois extraterritoriales et favoriser l'emploi local.</t>
        </is>
      </c>
      <c r="E59" s="4" t="inlineStr"/>
      <c r="F59" s="4" t="inlineStr">
        <is>
          <t>Le support technique accède-t-il aux données depuis un pays hors UE ?</t>
        </is>
      </c>
      <c r="G59" s="4" t="inlineStr">
        <is>
          <t>Support N1/N2 situé en Union Européenne.</t>
        </is>
      </c>
      <c r="H59" s="4" t="inlineStr">
        <is>
          <t>Administration et support 100 % opérés depuis l'UE (Souveraineté totale).</t>
        </is>
      </c>
      <c r="I59" s="4" t="inlineStr">
        <is>
          <t>Services cloud</t>
        </is>
      </c>
      <c r="J59" s="4" t="inlineStr"/>
      <c r="K59" s="4" t="inlineStr">
        <is>
          <t>RFI/RFP</t>
        </is>
      </c>
      <c r="L59" s="4" t="inlineStr">
        <is>
          <t>3.2</t>
        </is>
      </c>
      <c r="M59" s="4" t="n">
        <v>21</v>
      </c>
    </row>
    <row r="60">
      <c r="A60" s="2" t="inlineStr">
        <is>
          <t>CLD-Q-08</t>
        </is>
      </c>
      <c r="B60" s="2" t="inlineStr">
        <is>
          <t>Management de Efficacité énergétique</t>
        </is>
      </c>
      <c r="C60" s="4" t="inlineStr"/>
      <c r="D60" s="4" t="inlineStr">
        <is>
          <t>ISO 50001, Code de conduite européen des datacenters ou équivalent</t>
        </is>
      </c>
      <c r="E60" s="4" t="inlineStr"/>
      <c r="F60" s="4" t="inlineStr">
        <is>
          <t>Quel(s) certifications/labels/système de management avez-vous pour optimiser l’efficacité énergétique des centres de données ?</t>
        </is>
      </c>
      <c r="G60" s="4" t="inlineStr">
        <is>
          <t>Signature du Code de conduite européen ou équivalant à préciser</t>
        </is>
      </c>
      <c r="H60" s="4" t="inlineStr">
        <is>
          <t>ISO 50001 ou équivalent</t>
        </is>
      </c>
      <c r="I60" s="4" t="inlineStr">
        <is>
          <t>Services cloud</t>
        </is>
      </c>
      <c r="J60" s="4" t="inlineStr"/>
      <c r="K60" s="4" t="inlineStr">
        <is>
          <t>RFI/RFP</t>
        </is>
      </c>
      <c r="L60" s="4" t="inlineStr">
        <is>
          <t>3.2</t>
        </is>
      </c>
      <c r="M60" s="4" t="n">
        <v>21</v>
      </c>
    </row>
    <row r="61">
      <c r="A61" s="2" t="inlineStr">
        <is>
          <t>CLD-Q-09</t>
        </is>
      </c>
      <c r="B61" s="2" t="inlineStr">
        <is>
          <t>Gestion du cycle de vie</t>
        </is>
      </c>
      <c r="C61" s="4" t="inlineStr"/>
      <c r="D61" s="4" t="inlineStr"/>
      <c r="E61" s="4" t="inlineStr"/>
      <c r="F61" s="4" t="inlineStr">
        <is>
          <t>• Quelle politique en matière d'approvisionnement, de durée de vie moyenne, de recyclage et de remise à neuf du matériel informatique intégré dans leurs centres de données et équipements informatiques (serveurs et équipements réseau) ainsi que sur leurs pratiques liées à l'économie circulaire.
• Quelle est la durée de vie moyenne de vos équipements ?</t>
        </is>
      </c>
      <c r="G61" s="4" t="inlineStr">
        <is>
          <t>Politique formalisée. Les fournisseurs de services Cloud s'engagent à promouvoir la réutilisation, la réparation ou le recyclage à 100% de leur équipement et serveurs usagés.</t>
        </is>
      </c>
      <c r="H61" s="4" t="inlineStr">
        <is>
          <t>Durée de vie des équipements : 7 ans pour les serveurs.
Durées de vie minimales pour les équipements d’infrastructure : 20 ans pour les transformateurs et 15 ans pour les groupes froids.</t>
        </is>
      </c>
      <c r="I61" s="4" t="inlineStr">
        <is>
          <t>Services cloud</t>
        </is>
      </c>
      <c r="J61" s="4" t="inlineStr"/>
      <c r="K61" s="4" t="inlineStr">
        <is>
          <t>RFI/RFP</t>
        </is>
      </c>
      <c r="L61" s="4" t="inlineStr">
        <is>
          <t>3.2</t>
        </is>
      </c>
      <c r="M61" s="4" t="n">
        <v>21</v>
      </c>
    </row>
    <row r="62">
      <c r="A62" s="2" t="inlineStr">
        <is>
          <t>CLD-Q-10</t>
        </is>
      </c>
      <c r="B62" s="2" t="inlineStr">
        <is>
          <t>Progrès et Innovation</t>
        </is>
      </c>
      <c r="C62" s="4" t="inlineStr"/>
      <c r="D62" s="4" t="inlineStr">
        <is>
          <t>Récupération chaleur fatale, autoconsommation, monitoring etc…</t>
        </is>
      </c>
      <c r="E62" s="4" t="inlineStr"/>
      <c r="F62" s="4" t="inlineStr">
        <is>
          <t>Quelles sont les actions de progrès et innovations que vous mettez en œuvre pour minimiser l’impact environnemental ?</t>
        </is>
      </c>
      <c r="G62" s="4" t="inlineStr">
        <is>
          <t>Plan d’action</t>
        </is>
      </c>
      <c r="H62" s="4" t="inlineStr">
        <is>
          <t>Plan d’action opposables</t>
        </is>
      </c>
      <c r="I62" s="4" t="inlineStr">
        <is>
          <t>Services cloud</t>
        </is>
      </c>
      <c r="J62" s="4" t="inlineStr"/>
      <c r="K62" s="4" t="inlineStr">
        <is>
          <t>RFI/RFP</t>
        </is>
      </c>
      <c r="L62" s="4" t="inlineStr">
        <is>
          <t>3.2</t>
        </is>
      </c>
      <c r="M62" s="4" t="n">
        <v>21</v>
      </c>
    </row>
    <row r="63">
      <c r="A63" s="2" t="inlineStr">
        <is>
          <t>CLD-Q-11</t>
        </is>
      </c>
      <c r="B63" s="2" t="inlineStr">
        <is>
          <t>Écoconception</t>
        </is>
      </c>
      <c r="C63" s="4" t="inlineStr"/>
      <c r="D63" s="4" t="inlineStr">
        <is>
          <t>Nombre de règles du RGESN ou autre référentiel international</t>
        </is>
      </c>
      <c r="E63" s="4" t="inlineStr"/>
      <c r="F63" s="4" t="inlineStr">
        <is>
          <t>Le Titulaire s’engage à concevoir, développer et exploiter les services numériques faisant l’objet du Marché en application des principes de sobriété numérique.
Cet engagement repose sur :
• Le respect des référentiels : L'application prioritaire du RGESN (Référentiel Général d’Écoconception de Services Numériques) ou, à défaut, du GR491*.*
• La pérennité de la démarche : Pour les services managés, le Titulaire doit démontrer que les choix d'écoconception sont maintenus et optimisés tout au long de la phase d'exploitation (maintenance corrective et évolutive).</t>
        </is>
      </c>
      <c r="G63" s="4" t="inlineStr">
        <is>
          <t>• Application stricte des 78 critères prioritaires du RGESN
• Mise en place de tests de performance automatisés pour éviter les régressions de poids des pages/requêtes.</t>
        </is>
      </c>
      <c r="H63" s="4" t="inlineStr">
        <is>
          <t>• Application de l'intégralité des critères du RGESN (v2) avec un taux de conformité &gt; 85%.
• Monitoring en temps réel de la consommation énergétique des serveurs et Analyse de Cycle de Vie (ACV) simplifiée du service.
• Application de l'AFNOR SPEC IA Frugale pour tout algorithme d'IA intégré</t>
        </is>
      </c>
      <c r="I63" s="4" t="inlineStr">
        <is>
          <t>Services cloud</t>
        </is>
      </c>
      <c r="J63" s="4" t="inlineStr"/>
      <c r="K63" s="4" t="inlineStr">
        <is>
          <t>RFI/RFP</t>
        </is>
      </c>
      <c r="L63" s="4" t="inlineStr">
        <is>
          <t>3.2</t>
        </is>
      </c>
      <c r="M63" s="4" t="n">
        <v>21</v>
      </c>
    </row>
    <row r="64">
      <c r="A64" s="2" t="inlineStr">
        <is>
          <t>CLD-Q-12</t>
        </is>
      </c>
      <c r="B64" s="2" t="inlineStr">
        <is>
          <t>Cycle de Vie des Données</t>
        </is>
      </c>
      <c r="C64" s="4" t="inlineStr"/>
      <c r="D64" s="4" t="inlineStr">
        <is>
          <t>• Définir une date de fin de vie des données
• Fournir des outils pour minimiser les volumes de données</t>
        </is>
      </c>
      <c r="E64" s="4" t="inlineStr"/>
      <c r="F64" s="4" t="inlineStr">
        <is>
          <t>Le Titulaire s’engage à intégrer les principes de sobriété des données dès la phase de conception de la SOLUTION.
• Cycle de vie : Le Titulaire doit définir, pour chaque catégorie de données traitées, une durée de conservation limitée et un mécanisme de purge automatique ou de d'archivage compressé en fin de vie.
• Optimisation des volumes : Le Titulaire met à disposition du Client des fonctionnalités et des outils d'administration permettant de monitorer et de réduire activement les volumes de données stockées (déduplication, compression, suppression assistée).</t>
        </is>
      </c>
      <c r="G64" s="4" t="inlineStr">
        <is>
          <t>• Paramétrage manuel ou automatique de dates de péremption par dossier ou type de fichier.
• Utilisation de formats de fichiers compressés et algorithmes de déduplication standards
• Fourniture d'un indicateur global de volume stocké.
Limitation du nombre de versions sauvegardées (versioning raisonné).</t>
        </is>
      </c>
      <c r="H64" s="4" t="inlineStr">
        <is>
          <t>• Purge automatique intelligente avec alertes préalables et rapport de gain de stockage associé.
• Déduplication à la source et optimisation dynamique des bases de données (sharding, indexing écoconçu).
• Analyse trimestrielle des données "mortes" et recommandations de nettoyage.</t>
        </is>
      </c>
      <c r="I64" s="4" t="inlineStr">
        <is>
          <t>Services cloud</t>
        </is>
      </c>
      <c r="J64" s="4" t="inlineStr"/>
      <c r="K64" s="4" t="inlineStr">
        <is>
          <t>RFI/RFP</t>
        </is>
      </c>
      <c r="L64" s="4" t="inlineStr">
        <is>
          <t>3.2</t>
        </is>
      </c>
      <c r="M64" s="4" t="n">
        <v>21</v>
      </c>
    </row>
    <row r="65">
      <c r="A65" s="2" t="inlineStr">
        <is>
          <t>CLD-Q-13</t>
        </is>
      </c>
      <c r="B65" s="2" t="inlineStr">
        <is>
          <t>Transparence</t>
        </is>
      </c>
      <c r="C65" s="4" t="inlineStr"/>
      <c r="D65" s="4" t="inlineStr">
        <is>
          <t>Permettre aux utilisateurs et administrateurs d’utiliser les services « en conséquence » de l’impact environnemental généré et du coup de pouvoir décider du non-usage</t>
        </is>
      </c>
      <c r="E65" s="4" t="inlineStr"/>
      <c r="F65" s="4" t="inlineStr">
        <is>
          <t>Transparence de l’impact et aide à l’arbitrage : Le Titulaire s’engage à fournir au Client et à ses utilisateurs les informations nécessaires pour une utilisation sobre et éclairée du service.
• Pour les Administrateurs : Le Titulaire met à disposition un tableau de bord consolidé mesurant la consommation électrique et l’empreinte carbone (approche location-based) générées par l’usage de la SOLUTION.
• Pour les Utilisateurs : La SOLUTION doit intégrer des dispositifs d’information ou de "Nudge" (incitations douces) permettant de visualiser l’impact environnemental d’une action spécifique, afin de favoriser le non-usage ou l’usage différé des fonctionnalités les plus énergivores.</t>
        </is>
      </c>
      <c r="G65" s="4" t="inlineStr">
        <is>
          <t>• Reporting annuel des consommations électriques et émissions de GES liées au contrat.
• Information statique (ex: page "Charte écogestes") accessible dans l'aide ou le footer.</t>
        </is>
      </c>
      <c r="H65" s="4" t="inlineStr">
        <is>
          <t>• Tableau de bord en temps réel avec historique et export de données pour le bilan carbone (RSE) de l'entreprise.
• Affichage de l'impact estimé avant une action lourde (ex: "L'envoi de cette pièce jointe génère X g de CO2")
• Transparence totale sur le mix énergétique des datacenters et distinction Location-based vs Market-based.</t>
        </is>
      </c>
      <c r="I65" s="4" t="inlineStr">
        <is>
          <t>Services cloud</t>
        </is>
      </c>
      <c r="J65" s="4" t="inlineStr"/>
      <c r="K65" s="4" t="inlineStr">
        <is>
          <t>RFI/RFP</t>
        </is>
      </c>
      <c r="L65" s="4" t="inlineStr">
        <is>
          <t>3.2</t>
        </is>
      </c>
      <c r="M65" s="4" t="n">
        <v>22</v>
      </c>
    </row>
    <row r="66">
      <c r="A66" s="2" t="inlineStr">
        <is>
          <t>CLD-Q-14</t>
        </is>
      </c>
      <c r="B66" s="2" t="inlineStr">
        <is>
          <t>Accessibilité</t>
        </is>
      </c>
      <c r="C66" s="4" t="inlineStr"/>
      <c r="D66" s="4" t="inlineStr">
        <is>
          <t>• Applicable seulement aux services ou logiciels en SAAS disposant d’interfaces utilisateurs
• Si l’entreprise du titulaire est basée en France, on fera référence au RGAA qui est la norme nationale. Si l’entreprise du titulaire n’est pas en France on fera référence à la norme internationale WCAG</t>
        </is>
      </c>
      <c r="E66" s="4" t="inlineStr"/>
      <c r="F66" s="4" t="inlineStr">
        <is>
          <t>Pouvez-vous démontrer la conformité du service numérique aux obligations d’accessibilité numérique en vigueur (déclaration d’accessibilité, niveau de conformité, référentiel applicable et schéma pluriannuel) ?</t>
        </is>
      </c>
      <c r="G66" s="4" t="inlineStr">
        <is>
          <t>• Preuve du respect des obligations de déclaration légale</t>
        </is>
      </c>
      <c r="H66" s="4" t="inlineStr">
        <is>
          <t>Conformité totale au WCAG AA (à l’international) ou RGAA (en France)</t>
        </is>
      </c>
      <c r="I66" s="4" t="inlineStr">
        <is>
          <t>Services cloud</t>
        </is>
      </c>
      <c r="J66" s="4" t="inlineStr"/>
      <c r="K66" s="4" t="inlineStr">
        <is>
          <t>RFI/RFP</t>
        </is>
      </c>
      <c r="L66" s="4" t="inlineStr">
        <is>
          <t>3.2</t>
        </is>
      </c>
      <c r="M66" s="4" t="n">
        <v>22</v>
      </c>
    </row>
    <row r="67">
      <c r="A67" s="2" t="inlineStr">
        <is>
          <t>CLD-Q-15</t>
        </is>
      </c>
      <c r="B67" s="2" t="inlineStr">
        <is>
          <t>Droit à la déconnexion</t>
        </is>
      </c>
      <c r="C67" s="4" t="inlineStr"/>
      <c r="D67" s="4" t="inlineStr"/>
      <c r="E67" s="4" t="inlineStr"/>
      <c r="F67" s="4" t="inlineStr">
        <is>
          <t>Le cas échéant, la solution propose-t-elle des fonctionnalités permettant la gestion ou la désactivation des notifications, notamment en dehors des horaires de travail (paramétrage individuel et/ou collectif, plages horaires, types de notifications) ;</t>
        </is>
      </c>
      <c r="G67" s="4" t="inlineStr"/>
      <c r="H67" s="4" t="inlineStr">
        <is>
          <t>Fourniture d’une guide de paramétrage des fonctionnalités permettant le droit à la déconnexion</t>
        </is>
      </c>
      <c r="I67" s="4" t="inlineStr">
        <is>
          <t>Services cloud</t>
        </is>
      </c>
      <c r="J67" s="4" t="inlineStr"/>
      <c r="K67" s="4" t="inlineStr">
        <is>
          <t>RFI/RFP</t>
        </is>
      </c>
      <c r="L67" s="4" t="inlineStr">
        <is>
          <t>3.2</t>
        </is>
      </c>
      <c r="M67" s="4" t="n">
        <v>22</v>
      </c>
    </row>
    <row r="68">
      <c r="A68" s="2" t="inlineStr">
        <is>
          <t>CLD-E-01</t>
        </is>
      </c>
      <c r="B68" s="2" t="inlineStr">
        <is>
          <t>Dashboard de Performance Carbone</t>
        </is>
      </c>
      <c r="C68" s="4" t="inlineStr">
        <is>
          <t>Publication de la méthodologie complète et des facteurs d’émissions utilisés. Recommandations d’optimisation « Green Ops » pour réduire l'impact à l'usage.</t>
        </is>
      </c>
      <c r="D68" s="4" t="inlineStr"/>
      <c r="E68" s="4" t="inlineStr">
        <is>
          <t>Rapport d’estimation des émissions CO2e détaillé par Scopes 1, 2 (Market et Location based) et 3 (hors compensation).</t>
        </is>
      </c>
      <c r="F68" s="4" t="inlineStr"/>
      <c r="G68" s="4" t="inlineStr">
        <is>
          <t>Rapport automatisé périodique remis à l'entreprise.</t>
        </is>
      </c>
      <c r="H68" s="4" t="inlineStr">
        <is>
          <t>Dashboard dynamique en temps réel incluant des simulations d'impact des leviers « Green Ops ».</t>
        </is>
      </c>
      <c r="I68" s="4" t="inlineStr">
        <is>
          <t>Services cloud</t>
        </is>
      </c>
      <c r="J68" s="4" t="inlineStr"/>
      <c r="K68" s="4" t="inlineStr">
        <is>
          <t>CCAP &amp; CCTP</t>
        </is>
      </c>
      <c r="L68" s="4" t="inlineStr">
        <is>
          <t>3.3</t>
        </is>
      </c>
      <c r="M68" s="4" t="n">
        <v>24</v>
      </c>
    </row>
    <row r="69">
      <c r="A69" s="2" t="inlineStr">
        <is>
          <t>CLD-E-02</t>
        </is>
      </c>
      <c r="B69" s="2" t="inlineStr">
        <is>
          <t>Souveraineté et Localisation</t>
        </is>
      </c>
      <c r="C69" s="4" t="inlineStr">
        <is>
          <t>Garantie de la localisation géographique des services pour répondre aux enjeux de souveraineté et de conformité.</t>
        </is>
      </c>
      <c r="D69" s="4" t="inlineStr"/>
      <c r="E69" s="4" t="inlineStr">
        <is>
          <t>Cartographie précise de la localisation des services et des infrastructures de stockage.</t>
        </is>
      </c>
      <c r="F69" s="4" t="inlineStr"/>
      <c r="G69" s="4" t="inlineStr">
        <is>
          <t>Communication transparente sur la localisation géographique des centres de données.</t>
        </is>
      </c>
      <c r="H69" s="4" t="inlineStr">
        <is>
          <t>Choix de la localisation par l’entreprise et interface de pilotage en temps réel.</t>
        </is>
      </c>
      <c r="I69" s="4" t="inlineStr">
        <is>
          <t>Services cloud</t>
        </is>
      </c>
      <c r="J69" s="4" t="inlineStr"/>
      <c r="K69" s="4" t="inlineStr">
        <is>
          <t>CCAP &amp; CCTP</t>
        </is>
      </c>
      <c r="L69" s="4" t="inlineStr">
        <is>
          <t>3.3</t>
        </is>
      </c>
      <c r="M69" s="4" t="n">
        <v>24</v>
      </c>
    </row>
    <row r="70">
      <c r="A70" s="2" t="inlineStr">
        <is>
          <t>CLD-E-03</t>
        </is>
      </c>
      <c r="B70" s="2" t="inlineStr">
        <is>
          <t>Réversibilité et Autonomie</t>
        </is>
      </c>
      <c r="C70" s="4" t="inlineStr">
        <is>
          <t>Prévention du « Vendor Lock-in » (enfermement propriétaire) pour garantir la liberté technologique de l'entreprise.</t>
        </is>
      </c>
      <c r="D70" s="4" t="inlineStr"/>
      <c r="E70" s="4" t="inlineStr">
        <is>
          <t>Plan d’Assurance Réversibilité (PAR) exhaustif, incluant les procédures techniques et les coûts associés.</t>
        </is>
      </c>
      <c r="F70" s="4" t="inlineStr"/>
      <c r="G70" s="4" t="inlineStr">
        <is>
          <t>PAR détaillé et chiffré validé à la signature du contrat.</t>
        </is>
      </c>
      <c r="H70" s="4" t="inlineStr">
        <is>
          <t>Réalisation d'un test de réversibilité annuel couronné de succès pour valider la portabilité réelle.</t>
        </is>
      </c>
      <c r="I70" s="4" t="inlineStr">
        <is>
          <t>Services cloud</t>
        </is>
      </c>
      <c r="J70" s="4" t="inlineStr"/>
      <c r="K70" s="4" t="inlineStr">
        <is>
          <t>CCAP &amp; CCTP</t>
        </is>
      </c>
      <c r="L70" s="4" t="inlineStr">
        <is>
          <t>3.3</t>
        </is>
      </c>
      <c r="M70" s="4" t="n">
        <v>24</v>
      </c>
    </row>
    <row r="71">
      <c r="A71" s="2" t="inlineStr">
        <is>
          <t>LOG-Q-01</t>
        </is>
      </c>
      <c r="B71" s="2" t="inlineStr">
        <is>
          <t>Écoconception Logicielle</t>
        </is>
      </c>
      <c r="C71" s="4" t="inlineStr"/>
      <c r="D71" s="4" t="inlineStr"/>
      <c r="E71" s="4" t="inlineStr"/>
      <c r="F71" s="4" t="inlineStr">
        <is>
          <t>Utilisez-vous un référentiel d'écoconception (ex: RGESN) pour le développement et la mesure de votre solution ?</t>
        </is>
      </c>
      <c r="G71" s="4" t="inlineStr">
        <is>
          <t>Intégration d'un référentiel reconnu et réalisation de mesures de maturité régulières.</t>
        </is>
      </c>
      <c r="H71" s="4" t="inlineStr">
        <is>
          <t>Score d'écoconception audité par un tiers et démarche d'amélioration continue (KPIs).</t>
        </is>
      </c>
      <c r="I71" s="4" t="inlineStr">
        <is>
          <t>Logiciels</t>
        </is>
      </c>
      <c r="J71" s="4" t="inlineStr"/>
      <c r="K71" s="4" t="inlineStr">
        <is>
          <t>RFI/RFP</t>
        </is>
      </c>
      <c r="L71" s="4" t="inlineStr">
        <is>
          <t>4.1</t>
        </is>
      </c>
      <c r="M71" s="4" t="n">
        <v>25</v>
      </c>
    </row>
    <row r="72">
      <c r="A72" s="2" t="inlineStr">
        <is>
          <t>LOG-Q-02</t>
        </is>
      </c>
      <c r="B72" s="2" t="inlineStr">
        <is>
          <t>Accessibilité numérique</t>
        </is>
      </c>
      <c r="C72" s="4" t="inlineStr"/>
      <c r="D72" s="4" t="inlineStr"/>
      <c r="E72" s="4" t="inlineStr"/>
      <c r="F72" s="4" t="inlineStr">
        <is>
          <t>Pouvez-vous démontrer la conformité de votre service aux obligations légales d'accessibilité en vigueur ?</t>
        </is>
      </c>
      <c r="G72" s="4" t="inlineStr">
        <is>
          <t>Publication d'une Déclaration d'accessibilité conforme (RGAA ou WCAG 2.1 AA).</t>
        </is>
      </c>
      <c r="H72" s="4" t="inlineStr">
        <is>
          <t>Conformité totale (100%) et intégration des retours utilisateurs en situation de handicap.</t>
        </is>
      </c>
      <c r="I72" s="4" t="inlineStr">
        <is>
          <t>Logiciels</t>
        </is>
      </c>
      <c r="J72" s="4" t="inlineStr"/>
      <c r="K72" s="4" t="inlineStr">
        <is>
          <t>RFI/RFP</t>
        </is>
      </c>
      <c r="L72" s="4" t="inlineStr">
        <is>
          <t>4.1</t>
        </is>
      </c>
      <c r="M72" s="4" t="n">
        <v>25</v>
      </c>
    </row>
    <row r="73">
      <c r="A73" s="2" t="inlineStr">
        <is>
          <t>LOG-Q-03</t>
        </is>
      </c>
      <c r="B73" s="2" t="inlineStr">
        <is>
          <t>Droit à la déconnexion</t>
        </is>
      </c>
      <c r="C73" s="4" t="inlineStr"/>
      <c r="D73" s="4" t="inlineStr"/>
      <c r="E73" s="4" t="inlineStr"/>
      <c r="F73" s="4" t="inlineStr">
        <is>
          <t>La solution propose-t-elle des fonctionnalités natives pour gérer ou désactiver les notifications hors horaires de travail ?</t>
        </is>
      </c>
      <c r="G73" s="4" t="inlineStr">
        <is>
          <t>Paramétrage collectif des plages de silence des notifications par l'administrateur.</t>
        </is>
      </c>
      <c r="H73" s="4" t="inlineStr">
        <is>
          <t>Paramétrage individuel avancé et fourniture d'un guide des bonnes pratiques de déconnexion.</t>
        </is>
      </c>
      <c r="I73" s="4" t="inlineStr">
        <is>
          <t>Logiciels</t>
        </is>
      </c>
      <c r="J73" s="4" t="inlineStr"/>
      <c r="K73" s="4" t="inlineStr">
        <is>
          <t>RFI/RFP</t>
        </is>
      </c>
      <c r="L73" s="4" t="inlineStr">
        <is>
          <t>4.1</t>
        </is>
      </c>
      <c r="M73" s="4" t="n">
        <v>25</v>
      </c>
    </row>
    <row r="74">
      <c r="A74" s="2" t="inlineStr">
        <is>
          <t>LOG-Q-04</t>
        </is>
      </c>
      <c r="B74" s="2" t="inlineStr">
        <is>
          <t>Obsolescence &amp; Inclusion</t>
        </is>
      </c>
      <c r="C74" s="4" t="inlineStr"/>
      <c r="D74" s="4" t="inlineStr"/>
      <c r="E74" s="4" t="inlineStr"/>
      <c r="F74" s="4" t="inlineStr">
        <is>
          <t>Quelle est la durée de compatibilité descendante garantie pour les OS et terminaux du marché ?</t>
        </is>
      </c>
      <c r="G74" s="4" t="inlineStr">
        <is>
          <t>Support garanti sur 3 ans (mobiles) et 5 ans (PC) pour les versions d'OS majeures.</t>
        </is>
      </c>
      <c r="H74" s="4" t="inlineStr">
        <is>
          <t>Bootloader déverrouillable (permettant l'installation d'OS alternatifs légers) pour allonger la vie du matériel.</t>
        </is>
      </c>
      <c r="I74" s="4" t="inlineStr">
        <is>
          <t>Logiciels</t>
        </is>
      </c>
      <c r="J74" s="4" t="inlineStr"/>
      <c r="K74" s="4" t="inlineStr">
        <is>
          <t>RFI/RFP</t>
        </is>
      </c>
      <c r="L74" s="4" t="inlineStr">
        <is>
          <t>4.1</t>
        </is>
      </c>
      <c r="M74" s="4" t="n">
        <v>25</v>
      </c>
    </row>
    <row r="75">
      <c r="A75" s="2" t="inlineStr">
        <is>
          <t>LOG-Q-05</t>
        </is>
      </c>
      <c r="B75" s="2" t="inlineStr">
        <is>
          <t>Gestion des Mises à jour</t>
        </is>
      </c>
      <c r="C75" s="4" t="inlineStr"/>
      <c r="D75" s="4" t="inlineStr"/>
      <c r="E75" s="4" t="inlineStr"/>
      <c r="F75" s="4" t="inlineStr">
        <is>
          <t>Comment garantissez-vous que vos mises à jour évolutives n'entraînent pas une obsolescence matérielle ?</t>
        </is>
      </c>
      <c r="G75" s="4" t="inlineStr">
        <is>
          <t>Distinction claire entre maintenance curative (sécurité) et évolutive. Possibilité de refuser les évolutions lourdes.</t>
        </is>
      </c>
      <c r="H75" s="4" t="inlineStr">
        <is>
          <t>Mises à jour évolutives garanties "iso-consommation" (pas d'augmentation des besoins CPU/RAM)</t>
        </is>
      </c>
      <c r="I75" s="4" t="inlineStr">
        <is>
          <t>Logiciels</t>
        </is>
      </c>
      <c r="J75" s="4" t="inlineStr"/>
      <c r="K75" s="4" t="inlineStr">
        <is>
          <t>RFI/RFP</t>
        </is>
      </c>
      <c r="L75" s="4" t="inlineStr">
        <is>
          <t>4.1</t>
        </is>
      </c>
      <c r="M75" s="4" t="n">
        <v>25</v>
      </c>
    </row>
    <row r="76">
      <c r="A76" s="2" t="inlineStr">
        <is>
          <t>LOG-Q-06</t>
        </is>
      </c>
      <c r="B76" s="2" t="inlineStr">
        <is>
          <t>Standards Ouverts &amp; Interopérabilité</t>
        </is>
      </c>
      <c r="C76" s="4" t="inlineStr"/>
      <c r="D76" s="4" t="inlineStr"/>
      <c r="E76" s="4" t="inlineStr"/>
      <c r="F76" s="4" t="inlineStr">
        <is>
          <t>La solution repose-t-elle sur des standards ouverts pour garantir l'indépendance et l'auditabilité ?</t>
        </is>
      </c>
      <c r="G76" s="4" t="inlineStr">
        <is>
          <t>Export des données dans des formats ouverts et standards. API documentée.</t>
        </is>
      </c>
      <c r="H76" s="4" t="inlineStr">
        <is>
          <t>Code source auditable ou reposant sur des briques Open Source. Documentation technique complète.</t>
        </is>
      </c>
      <c r="I76" s="4" t="inlineStr">
        <is>
          <t>Logiciels</t>
        </is>
      </c>
      <c r="J76" s="4" t="inlineStr"/>
      <c r="K76" s="4" t="inlineStr">
        <is>
          <t>RFI/RFP</t>
        </is>
      </c>
      <c r="L76" s="4" t="inlineStr">
        <is>
          <t>4.1</t>
        </is>
      </c>
      <c r="M76" s="4" t="n">
        <v>25</v>
      </c>
    </row>
    <row r="77">
      <c r="A77" s="2" t="inlineStr">
        <is>
          <t>LOG-E-01</t>
        </is>
      </c>
      <c r="B77" s="2" t="inlineStr">
        <is>
          <t>Mesure de l'Empreinte Carbone</t>
        </is>
      </c>
      <c r="C77" s="4" t="inlineStr"/>
      <c r="D77" s="4" t="inlineStr"/>
      <c r="E77" s="4" t="inlineStr">
        <is>
          <t>Rapport d'estimation carbone incluant les phases de conception, de développement et de maintenance.</t>
        </is>
      </c>
      <c r="F77" s="4" t="inlineStr"/>
      <c r="G77" s="4" t="inlineStr">
        <is>
          <t>Fourniture d'un rapport détaillé à chaque évolution logicielle majeure.</t>
        </is>
      </c>
      <c r="H77" s="4" t="inlineStr">
        <is>
          <t>Mise à disposition d'un indicateur dynamique de consommation par unité fonctionnelle.</t>
        </is>
      </c>
      <c r="I77" s="4" t="inlineStr">
        <is>
          <t>Logiciels</t>
        </is>
      </c>
      <c r="J77" s="4" t="inlineStr"/>
      <c r="K77" s="4" t="inlineStr">
        <is>
          <t>CCAP &amp; CCTP</t>
        </is>
      </c>
      <c r="L77" s="4" t="inlineStr">
        <is>
          <t>4.2</t>
        </is>
      </c>
      <c r="M77" s="4" t="n">
        <v>25</v>
      </c>
    </row>
    <row r="78">
      <c r="A78" s="2" t="inlineStr">
        <is>
          <t>LOG-E-02</t>
        </is>
      </c>
      <c r="B78" s="2" t="inlineStr">
        <is>
          <t>Stratégie d'écointégration</t>
        </is>
      </c>
      <c r="C78" s="4" t="inlineStr"/>
      <c r="D78" s="4" t="inlineStr"/>
      <c r="E78" s="4" t="inlineStr">
        <is>
          <t>Documentation technique précisant les paramètres d'installation optimisés pour l'environnement client.</t>
        </is>
      </c>
      <c r="F78" s="4" t="inlineStr"/>
      <c r="G78" s="4" t="inlineStr">
        <is>
          <t>Guide de bonnes pratiques pour une installation à faible impact énergétique. Guide de paramétrage et de bonnes pratiques d’usages pour limiter l’empreinte environnementale à l’usage de ces logiciels</t>
        </is>
      </c>
      <c r="H78" s="4" t="inlineStr">
        <is>
          <t>Fourniture de scripts de configuration automatisés (profils "éco") pour le déploiement.</t>
        </is>
      </c>
      <c r="I78" s="4" t="inlineStr">
        <is>
          <t>Logiciels</t>
        </is>
      </c>
      <c r="J78" s="4" t="inlineStr"/>
      <c r="K78" s="4" t="inlineStr">
        <is>
          <t>CCAP &amp; CCTP</t>
        </is>
      </c>
      <c r="L78" s="4" t="inlineStr">
        <is>
          <t>4.2</t>
        </is>
      </c>
      <c r="M78" s="4" t="n">
        <v>25</v>
      </c>
    </row>
    <row r="79">
      <c r="A79" s="2" t="inlineStr">
        <is>
          <t>LOG-E-03</t>
        </is>
      </c>
      <c r="B79" s="2" t="inlineStr">
        <is>
          <t>Lutte contre l'Obsolescence</t>
        </is>
      </c>
      <c r="C79" s="4" t="inlineStr"/>
      <c r="D79" s="4" t="inlineStr"/>
      <c r="E79" s="4" t="inlineStr">
        <is>
          <t>Analyse d'impact matériel et de compatibilité avec les systèmes existants (OS et terminaux)</t>
        </is>
      </c>
      <c r="F79" s="4" t="inlineStr"/>
      <c r="G79" s="4" t="inlineStr">
        <is>
          <t>Garantie de compatibilité ascendante sur 3 ans (mobiles) et 5 ans (PC).</t>
        </is>
      </c>
      <c r="H79" s="4" t="inlineStr">
        <is>
          <t>Engagement contractuel de non-augmentation des ressources (CPU/RAM) à périmètre fonctionnel égal.</t>
        </is>
      </c>
      <c r="I79" s="4" t="inlineStr">
        <is>
          <t>Logiciels</t>
        </is>
      </c>
      <c r="J79" s="4" t="inlineStr"/>
      <c r="K79" s="4" t="inlineStr">
        <is>
          <t>CCAP &amp; CCTP</t>
        </is>
      </c>
      <c r="L79" s="4" t="inlineStr">
        <is>
          <t>4.2</t>
        </is>
      </c>
      <c r="M79" s="4" t="n">
        <v>26</v>
      </c>
    </row>
    <row r="80">
      <c r="A80" s="2" t="inlineStr">
        <is>
          <t>LOG-E-04</t>
        </is>
      </c>
      <c r="B80" s="2" t="inlineStr">
        <is>
          <t>Accessibilité Numérique</t>
        </is>
      </c>
      <c r="C80" s="4" t="inlineStr"/>
      <c r="D80" s="4" t="inlineStr"/>
      <c r="E80" s="4" t="inlineStr">
        <is>
          <t>Déclaration de conformité, rapports d'audit (RGAA/WCAG) et certifications tierces.</t>
        </is>
      </c>
      <c r="F80" s="4" t="inlineStr"/>
      <c r="G80" s="4" t="inlineStr">
        <is>
          <t>Preuve de dépôt de la Déclaration d'accessibilité légale (taux de conformité &gt; 50 %).</t>
        </is>
      </c>
      <c r="H80" s="4" t="inlineStr">
        <is>
          <t>Conformité totale (100 %) certifiée par un audit tiers et tests utilisateurs réels.</t>
        </is>
      </c>
      <c r="I80" s="4" t="inlineStr">
        <is>
          <t>Logiciels</t>
        </is>
      </c>
      <c r="J80" s="4" t="inlineStr"/>
      <c r="K80" s="4" t="inlineStr">
        <is>
          <t>CCAP &amp; CCTP</t>
        </is>
      </c>
      <c r="L80" s="4" t="inlineStr">
        <is>
          <t>4.2</t>
        </is>
      </c>
      <c r="M80" s="4" t="n">
        <v>26</v>
      </c>
    </row>
    <row r="81">
      <c r="A81" s="2" t="inlineStr">
        <is>
          <t>LOG-E-05</t>
        </is>
      </c>
      <c r="B81" s="2" t="inlineStr">
        <is>
          <t>Droit à la Déconnexion</t>
        </is>
      </c>
      <c r="C81" s="4" t="inlineStr"/>
      <c r="D81" s="4" t="inlineStr"/>
      <c r="E81" s="4" t="inlineStr">
        <is>
          <t>Documentation fonctionnelle, guides de paramétrage et retours d'expérience clients.</t>
        </is>
      </c>
      <c r="F81" s="4" t="inlineStr"/>
      <c r="G81" s="4" t="inlineStr">
        <is>
          <t>Présence native de fonctionnalités de mise en veille des notifications hors horaires de travail.</t>
        </is>
      </c>
      <c r="H81" s="4" t="inlineStr">
        <is>
          <t>Système de pilotage collectif (RH) permettant de désactiver l'accès aux flux non critiques le week-end.</t>
        </is>
      </c>
      <c r="I81" s="4" t="inlineStr">
        <is>
          <t>Logiciels</t>
        </is>
      </c>
      <c r="J81" s="4" t="inlineStr"/>
      <c r="K81" s="4" t="inlineStr">
        <is>
          <t>CCAP &amp; CCTP</t>
        </is>
      </c>
      <c r="L81" s="4" t="inlineStr">
        <is>
          <t>4.2</t>
        </is>
      </c>
      <c r="M81" s="4" t="n">
        <v>26</v>
      </c>
    </row>
    <row r="82">
      <c r="A82" s="2" t="inlineStr">
        <is>
          <t>DEV-Q-01</t>
        </is>
      </c>
      <c r="B82" s="2" t="inlineStr">
        <is>
          <t>Accessibilité Numérique</t>
        </is>
      </c>
      <c r="C82" s="4" t="inlineStr">
        <is>
          <t>Niveau de formation des salariés intervenant sur la prestation
[Si l’entreprise du titulaire es basée en France, on fera référence au RGAA qui est la norme nationale. Si l’entreprise du titulaire n’est pas en France on fera référence à la norme internationale WCAG] / Doit respecter la norme WCAG</t>
        </is>
      </c>
      <c r="D82" s="4" t="inlineStr"/>
      <c r="E82" s="4" t="inlineStr"/>
      <c r="F82" s="4" t="inlineStr">
        <is>
          <t>Vos salariés ont-ils été professionnalisés à l’accessibilité numérique dans les 2 années précédentes ?
(WCAG ou RGAA dernières versions en vigueur)</t>
        </is>
      </c>
      <c r="G82" s="4" t="inlineStr">
        <is>
          <t>• Sensibilisation réalisée avec attestation et disposer d’une attestions pour les intervenants sur le frontend</t>
        </is>
      </c>
      <c r="H82" s="4" t="inlineStr">
        <is>
          <t>• Formation attestation de suivi de formation pour l’ensemble des équipes</t>
        </is>
      </c>
      <c r="I82" s="4" t="inlineStr">
        <is>
          <t>Prestations</t>
        </is>
      </c>
      <c r="J82" s="4" t="inlineStr">
        <is>
          <t>Développement / Intégration / TMA logiciels</t>
        </is>
      </c>
      <c r="K82" s="4" t="inlineStr">
        <is>
          <t>RFI/RFP</t>
        </is>
      </c>
      <c r="L82" s="4" t="inlineStr">
        <is>
          <t>5.1.1</t>
        </is>
      </c>
      <c r="M82" s="4" t="n">
        <v>27</v>
      </c>
    </row>
    <row r="83">
      <c r="A83" s="2" t="inlineStr">
        <is>
          <t>DEV-Q-02</t>
        </is>
      </c>
      <c r="B83" s="2" t="inlineStr">
        <is>
          <t>Écoconception</t>
        </is>
      </c>
      <c r="C83" s="4" t="inlineStr">
        <is>
          <t>Niveau de formation des prestataires sur la prestation d’écoconception</t>
        </is>
      </c>
      <c r="D83" s="4" t="inlineStr"/>
      <c r="E83" s="4" t="inlineStr"/>
      <c r="F83" s="4" t="inlineStr">
        <is>
          <t>Le Prestataire s’engage à ce que les membres de l’équipe affectés à l’exécution du Marché justifient d’une compétence opérationnelle en écoconception de services numériques. Cette compétence doit être attestée par le suivi, d’une formation portant sur les référentiels de référence (notamment le RGESN ou le GR491). Le Prestataire devra être en mesure de fournir les attestations de formation sur simple demande du Client.</t>
        </is>
      </c>
      <c r="G83" s="4" t="inlineStr">
        <is>
          <t>• Attestation de formation pour les profils clés de l'équipe (Product Owner, Designer UX/UI, Développeur Lead).
• La formation doit explicitement couvrir le RGESN (Référentiel Général d'Écoconception de Services Numériques), qui est le standard interministériel en France.</t>
        </is>
      </c>
      <c r="H83" s="4" t="inlineStr">
        <is>
          <t>• Présentation de certifications individuelles reconnues (ex : Certification Numérique Responsable de l'INR, certification Opquast, etc.).
• Plus de 50 % de l'effectif total de l'entreprise prestataire formé au Numérique Responsable (au-delà de la seule équipe projet).</t>
        </is>
      </c>
      <c r="I83" s="4" t="inlineStr">
        <is>
          <t>Prestations</t>
        </is>
      </c>
      <c r="J83" s="4" t="inlineStr">
        <is>
          <t>Développement / Intégration / TMA logiciels</t>
        </is>
      </c>
      <c r="K83" s="4" t="inlineStr">
        <is>
          <t>RFI/RFP</t>
        </is>
      </c>
      <c r="L83" s="4" t="inlineStr">
        <is>
          <t>5.1.1</t>
        </is>
      </c>
      <c r="M83" s="4" t="n">
        <v>27</v>
      </c>
    </row>
    <row r="84">
      <c r="A84" s="2" t="inlineStr">
        <is>
          <t>DEV-E-01</t>
        </is>
      </c>
      <c r="B84" s="2" t="inlineStr">
        <is>
          <t>Le TITULAIRE doit piloter l’écoconception des services numériques</t>
        </is>
      </c>
      <c r="C84" s="4" t="inlineStr">
        <is>
          <t>L’objectif est la réduction de l’empreinte carbone par la réalisation d’applications au plus juste des besoins et des moyens mis en œuvre. Ce principe s’applique aussi bien à des services de Build que de Run (TMA évolutive). Ces mesures sont mises en œuvre dans le respect des référentiels de l’Entreprise.</t>
        </is>
      </c>
      <c r="D84" s="4" t="inlineStr"/>
      <c r="E84" s="4" t="inlineStr">
        <is>
          <t>Définition des enjeux prioritaires d’écoconception par prestation (et selon profil applicatif le cas échéant), identification d’outils de mesure associés (front, back, qualité de code) Fourniture de rapports de mesure d'écoconception selon les évolutions</t>
        </is>
      </c>
      <c r="F84" s="4" t="inlineStr"/>
      <c r="G84" s="4" t="inlineStr">
        <is>
          <t>Réception validée : Avant la mise en production A chaque évolution significative (montée de version majeure, refonte applicative, refactoring) de la SOLUTION A chaque fin d’itération en mode Agile</t>
        </is>
      </c>
      <c r="H84" s="4" t="inlineStr"/>
      <c r="I84" s="4" t="inlineStr">
        <is>
          <t>Prestations</t>
        </is>
      </c>
      <c r="J84" s="4" t="inlineStr">
        <is>
          <t>Développement / Intégration / TMA logiciels</t>
        </is>
      </c>
      <c r="K84" s="4" t="inlineStr">
        <is>
          <t>CCAP &amp; CCTP</t>
        </is>
      </c>
      <c r="L84" s="4" t="inlineStr">
        <is>
          <t>5.1.2</t>
        </is>
      </c>
      <c r="M84" s="4" t="n">
        <v>27</v>
      </c>
    </row>
    <row r="85">
      <c r="A85" s="2" t="inlineStr">
        <is>
          <t>DEV-E-02</t>
        </is>
      </c>
      <c r="B85" s="2" t="inlineStr">
        <is>
          <t>Le TITULAIRE doit garantir la comptabilité du SERVICE sur des matériels anciens</t>
        </is>
      </c>
      <c r="C85" s="4" t="inlineStr">
        <is>
          <t>Le TITULAIRE s'engage à rendre le service disponible et accessible au plus grand nombre d'utilisateurs en assurant sa compatibilité avec les appareils les plus anciens (OS datant de plus de 5 ans) et des connectivités limitées :
• Le parc d’appareil/navigateurs cible est défini en phase d’initialisation du projet
• Les contraintes de bande passante sont également définies en phase d’initialisation du projet. (slow4G / fast3G / …)</t>
        </is>
      </c>
      <c r="D85" s="4" t="inlineStr"/>
      <c r="E85" s="4" t="inlineStr">
        <is>
          <t>Rapport manuel ou automatisé Test navigateur</t>
        </is>
      </c>
      <c r="F85" s="4" t="inlineStr"/>
      <c r="G85" s="4" t="inlineStr"/>
      <c r="H85" s="4" t="inlineStr"/>
      <c r="I85" s="4" t="inlineStr">
        <is>
          <t>Prestations</t>
        </is>
      </c>
      <c r="J85" s="4" t="inlineStr">
        <is>
          <t>Développement / Intégration / TMA logiciels</t>
        </is>
      </c>
      <c r="K85" s="4" t="inlineStr">
        <is>
          <t>CCAP &amp; CCTP</t>
        </is>
      </c>
      <c r="L85" s="4" t="inlineStr">
        <is>
          <t>5.1.2</t>
        </is>
      </c>
      <c r="M85" s="4" t="n">
        <v>28</v>
      </c>
    </row>
    <row r="86">
      <c r="A86" s="2" t="inlineStr">
        <is>
          <t>DEV-E-03</t>
        </is>
      </c>
      <c r="B86" s="2" t="inlineStr">
        <is>
          <t>Engagement Social et Inclusion</t>
        </is>
      </c>
      <c r="C86" s="4" t="inlineStr">
        <is>
          <t>Le Titulaire s’engage, durant toute la durée du Marché, à mettre en œuvre des actions concrètes en faveur de l’emploi de personnes éloignées de l’activité économique ou en situation de handicap. Cet engagement se traduit par :
• Le recrutement direct de personnes éligibles aux dispositifs d'insertion.
• La sous-traitance ou co-traitance avec des structures de l’IAE (SIAE) ou du secteur du travail protégé et adapté (STPA/EA/ESAT).
Le Titulaire est tenu de produire un suivi régulier de ces actions via les livrables définis ci-après.</t>
        </is>
      </c>
      <c r="D86" s="4" t="inlineStr"/>
      <c r="E86" s="4" t="inlineStr">
        <is>
          <t>Pour garantir le suivi effectif de la clause, le prestataire doit fournir :
• Tableau de suivi mensuel : Relevé du nombre d'heures d'insertion réalisées et/ou montant du chiffre d'affaires confié au secteur STPA/SIAE.
• Rapport d'impact social annuel : Note de synthèse détaillant les parcours des bénéficiaires et la nature des prestations réalisées.
• Bilan final de clôture de marché : Consolidation des indicateurs sociaux sur toute la durée du contrat.</t>
        </is>
      </c>
      <c r="F86" s="4" t="inlineStr"/>
      <c r="G86" s="4" t="inlineStr">
        <is>
          <t>• Respect d'un quota minimal : Un nombre d'heures d'insertion minimum (ex: 5% du volume horaire total du marché) ou un pourcentage minimal de sous-traitance sociale.
• Attestation de d’éligibilité : Fourniture des certificats d'appartenance au réseau SIAE ou STPA pour les sous-traitants mobilisés.
• Reporting obligatoire : Transmission systématique des justificatifs mensuels sous peine de pénalités contractuelles.</t>
        </is>
      </c>
      <c r="H86" s="4" t="inlineStr">
        <is>
          <t>• Parcours de montée en compétences : Mise en place d'un tutorat spécifique ou d'un transfert de compétences numériques par les experts du Titulaire vers les salariés en insertion.
• Durabilité du partenariat : Preuve d'un partenariat pluriannuel avec une structure de l'économie sociale et solidaire (ESS) dépassant le cadre strict du contrat.
• Inclusion dans l'innovation : Implication de structures du STPA sur des prestations à haute valeur ajoutée (ex : tests d'accessibilité numérique, maintenance logicielle de premier niveau) plutôt que sur des tâches logistiques simples.
• Capacité à recruter des salariés de structures SIAE et STPA en suite de parcours dans le domaine ordinaire</t>
        </is>
      </c>
      <c r="I86" s="4" t="inlineStr">
        <is>
          <t>Prestations</t>
        </is>
      </c>
      <c r="J86" s="4" t="inlineStr">
        <is>
          <t>Développement / Intégration / TMA logiciels</t>
        </is>
      </c>
      <c r="K86" s="4" t="inlineStr">
        <is>
          <t>CCAP &amp; CCTP</t>
        </is>
      </c>
      <c r="L86" s="4" t="inlineStr">
        <is>
          <t>5.1.2</t>
        </is>
      </c>
      <c r="M86" s="4" t="n">
        <v>28</v>
      </c>
    </row>
    <row r="87">
      <c r="A87" s="2" t="inlineStr">
        <is>
          <t>DEV-E-04</t>
        </is>
      </c>
      <c r="B87" s="2" t="inlineStr">
        <is>
          <t>Accessibilité Numérique</t>
        </is>
      </c>
      <c r="C87" s="4" t="inlineStr">
        <is>
          <t>Compétences en Accessibilité Numérique : Le Titulaire s’engage à ce que les intervenants affectés à la conception, au développement et aux tests des services numériques disposent d’une expertise avérée en accessibilité numérique. Cette compétence doit être maintenue à jour au regard des évolutions du RGAA (Référentiel Général d’Amélioration de l’Accessibilité) et des normes internationales WCAG. Le Titulaire doit justifier d’un plan de formation continue pour ses équipes, dont le taux d'avancement sera suivi lors de chaque comité contractuel.</t>
        </is>
      </c>
      <c r="D87" s="4" t="inlineStr"/>
      <c r="E87" s="4" t="inlineStr">
        <is>
          <t>• Registre annuel des formations : Liste nominative des collaborateurs formés avec les dates de fin de validité des acquis.
• Attestations de formation ou certifications : Preuves individuelles de suivi de cursus spécialisés (ex: développeur accessible, designer inclusif).
• Tableau de bord de suivi du taux de formation : Indicateur consolidé présentant le pourcentage de l'équipe projet ayant suivi une formation de moins de 24 mois.</t>
        </is>
      </c>
      <c r="F87" s="4" t="inlineStr"/>
      <c r="G87" s="4" t="inlineStr">
        <is>
          <t>• Formation obligatoire sur le RGAA : 100% des profils techniques (développeurs, UX/UI designers) doivent avoir suivi une formation opérationnelle sur le référentiel national français.
• Preuve que les équipes sont sensibilisées aux nouvelles obligations du European Accessibility Act (EAA) applicables dès juin 2025.
• Preuve de suivi : Fourniture systématique des certificats de réalisation ou attestations de présence.</t>
        </is>
      </c>
      <c r="H87" s="4" t="inlineStr">
        <is>
          <t>• Présentation de certifications tierces comme la certification Opquast (niveau expert) ou des certifications internationales de l'IAAP.
• Capacité du prestataire à organiser des sessions de tests utilisateurs incluant des personnes en situation de handicap (moteur, visuel, auditif, cognitif).
• Participation active des équipes à des journées de sensibilisation mondiale comme le GAAD (Global Accessibility Awareness Day).
• Présence au sein de l'équipe d'un auditeur capable de délivrer une déclaration de conformité officielle.</t>
        </is>
      </c>
      <c r="I87" s="4" t="inlineStr">
        <is>
          <t>Prestations</t>
        </is>
      </c>
      <c r="J87" s="4" t="inlineStr">
        <is>
          <t>Développement / Intégration / TMA logiciels</t>
        </is>
      </c>
      <c r="K87" s="4" t="inlineStr">
        <is>
          <t>CCAP &amp; CCTP</t>
        </is>
      </c>
      <c r="L87" s="4" t="inlineStr">
        <is>
          <t>5.1.2</t>
        </is>
      </c>
      <c r="M87" s="4" t="n">
        <v>29</v>
      </c>
    </row>
    <row r="88">
      <c r="A88" s="2" t="inlineStr">
        <is>
          <t>DEV-E-05</t>
        </is>
      </c>
      <c r="B88" s="2" t="inlineStr">
        <is>
          <t>Accessibilité Numérique</t>
        </is>
      </c>
      <c r="C88" s="4" t="inlineStr">
        <is>
          <t>Conformité et Accessibilité par défaut : Le Titulaire s'engage à livrer une SOLUTION numérique (logiciel, site web, application) strictement conforme aux standards d'accessibilité en vigueur (RGAA 4.1 au niveau AA ou WCAG 2.1). Cette exigence d'accessibilité "by design" s'applique à l'interface standard ainsi qu'à tout développement spécifique ou adaptation graphique réalisé pour le compte de l'ENTREPRISE. La SOLUTION doit garantir une interopérabilité totale avec les technologies d'assistance (lecteurs d'écran, plages braille, dispositifs de navigation alternative) et permettre une personnalisation de l'affichage (taille des polices, contrastes) sans perte d'information.</t>
        </is>
      </c>
      <c r="D88" s="4" t="inlineStr"/>
      <c r="E88" s="4" t="inlineStr">
        <is>
          <t>Pour valider techniquement la solution, le prestataire doit fournir :
• Audit d’accessibilité initial (en phase de conception) : Rapport sur les maquettes et prototypes pour corriger les erreurs au plus tôt.
• Audit d’accessibilité final (avant mise en production) : Rapport complet réalisé par un expert indépendant ou un outil certifié, listant les points de conformité et les éventuelles non-conformités résiduelles.
• Déclaration d'accessibilité : Document officiel rédigé selon le modèle légal, destiné à être publié sur la solution, mentionnant le taux de conformité atteint.
• Guide d'administration accessible : Pour les solutions avec back-office, un guide expliquant comment maintenir l'accessibilité lors de l'ajout de contenus (textes alternatifs, structure de titres, etc.).</t>
        </is>
      </c>
      <c r="F88" s="4" t="inlineStr"/>
      <c r="G88" s="4" t="inlineStr">
        <is>
          <t>• Conformité technique RGAA/WCAG : Atteindre un taux de conformité d'au moins 50% (niveau AA) dès la livraison initiale.
• Navigation clavier intégrale : Toutes les fonctionnalités doivent être utilisables sans souris.
• Correction des blocages critiques : Aucune erreur dite "bloquante" (ex: absence de focus, formulaires non étiquetés, contrastes illisibles) ne doit subsister à la mise en production.
• Support vérifié des principaux lecteurs d'écran (NVDA, JAWS, VoiceOver).</t>
        </is>
      </c>
      <c r="H88" s="4" t="inlineStr">
        <is>
          <t>• Viser l'excellence avec une conformité totale au niveau AA, voire des critères du niveau AAA (ex: contrastes renforcés).
• Faire valider la conformité par un organisme spécialisé externe au prestataire.
• Garantie que les composants externes (cartes, lecteurs vidéo, widgets) intégrés à la solution sont également accessibles.
• PV de recette incluant des tests réalisés par des utilisateurs en situation de handicap réel.</t>
        </is>
      </c>
      <c r="I88" s="4" t="inlineStr">
        <is>
          <t>Prestations</t>
        </is>
      </c>
      <c r="J88" s="4" t="inlineStr">
        <is>
          <t>Développement / Intégration / TMA logiciels</t>
        </is>
      </c>
      <c r="K88" s="4" t="inlineStr">
        <is>
          <t>CCAP &amp; CCTP</t>
        </is>
      </c>
      <c r="L88" s="4" t="inlineStr">
        <is>
          <t>5.1.2</t>
        </is>
      </c>
      <c r="M88" s="4" t="n">
        <v>29</v>
      </c>
    </row>
    <row r="89">
      <c r="A89" s="2" t="inlineStr">
        <is>
          <t>DEV-E-06</t>
        </is>
      </c>
      <c r="B89" s="2" t="inlineStr">
        <is>
          <t>Inclusion (compatibilité terminaux anciens / faible connectivité)</t>
        </is>
      </c>
      <c r="C89" s="4" t="inlineStr">
        <is>
          <t>Inclusion et Sobriété Technique : Le Titulaire s'engage à concevoir une SOLUTION universellement accessible, garantissant une expérience utilisateur fluide quel que soit l'équipement ou la qualité de la connexion réseau.
• Compatibilité Matérielle : La SOLUTION doit être optimisée pour fonctionner sur des terminaux anciens. Le Titulaire doit garantir une compatibilité ascendante avec les navigateurs et systèmes d'exploitation datant d'au moins cinq (5) ans.
• Performance en connectivité dégradée : La SOLUTION doit rester fonctionnelle et utilisable sur des réseaux à faible débit (type 3G ou 4G instable). Le Titulaire s'engage à minimiser le poids des pages et le nombre de requêtes serveurs pour permettre un affichage rapide en toutes circonstances.</t>
        </is>
      </c>
      <c r="D89" s="4" t="inlineStr"/>
      <c r="E89" s="4" t="inlineStr">
        <is>
          <t>Pour justifier de la robustesse de la solution :
• Note de cadrage technique : Définition précise du parc de terminaux et navigateurs cibles, basée si possible sur l'analyse de l'audience existante.
• Rapport d'Audit de Performance et Compatibilité (Avant MEP) : Rapport de tests incluant des mesures de temps de chargement en conditions de "Throttling" (simulation de bas débit) et tests sur navigateurs anciens.
• Spécifications d'écoconception technique : Document listant les choix faits pour réduire le poids des ressources (images compressées, lazy-loading, minification du code).</t>
        </is>
      </c>
      <c r="F89" s="4" t="inlineStr"/>
      <c r="G89" s="4" t="inlineStr">
        <is>
          <t>• Seuil de compatibilité 90% : Garantie de bon fonctionnement sur 90% des navigateurs du marché datant de 5 ans ou plus.
• Performance "Bas Débit" : Temps de chargement inférieur à un seuil défini (ex: &lt; 5 secondes) sur une connexion simulée 3G.
• Dégradation élégante : Si une fonctionnalité avancée ne fonctionne pas sur un vieux terminal, le service de base doit rester accessible et lisible.</t>
        </is>
      </c>
      <c r="H89" s="4" t="inlineStr">
        <is>
          <t>• Mode Hors-Ligne : capacité de la solution à stocker certaines données localement pour permettre une consultation sans réseau.
• Engagement sur un poids moyen de page inférieur à 1 Mo (hors vidéo).
• Compatibilité &gt; 7 ans : support de terminaux encore plus anciens pour maximiser la durée de vie des équipements des utilisateurs.
• Réalisation des tests sur des appareils réels (vieux smartphones/tablettes) et non uniquement via des émulateurs.</t>
        </is>
      </c>
      <c r="I89" s="4" t="inlineStr">
        <is>
          <t>Prestations</t>
        </is>
      </c>
      <c r="J89" s="4" t="inlineStr">
        <is>
          <t>Développement / Intégration / TMA logiciels</t>
        </is>
      </c>
      <c r="K89" s="4" t="inlineStr">
        <is>
          <t>CCAP &amp; CCTP</t>
        </is>
      </c>
      <c r="L89" s="4" t="inlineStr">
        <is>
          <t>5.1.2</t>
        </is>
      </c>
      <c r="M89" s="4" t="n">
        <v>30</v>
      </c>
    </row>
    <row r="90">
      <c r="A90" s="2" t="inlineStr">
        <is>
          <t>INF-Q-01</t>
        </is>
      </c>
      <c r="B90" s="2" t="inlineStr">
        <is>
          <t>Amélioration continue de la prestation fournie</t>
        </is>
      </c>
      <c r="C90" s="4" t="inlineStr">
        <is>
          <t>Processus, méthodologie : empreinte de la prestation (infogérance, TMA)</t>
        </is>
      </c>
      <c r="D90" s="4" t="inlineStr"/>
      <c r="E90" s="4" t="inlineStr"/>
      <c r="F90" s="4" t="inlineStr">
        <is>
          <t>• Quel processus d’innovation ou d’amélioration continue mettez-vous en œuvre dans le cadre de la prestation pour en améliorer la performance environnementale ?</t>
        </is>
      </c>
      <c r="G90" s="4" t="inlineStr"/>
      <c r="H90" s="4" t="inlineStr">
        <is>
          <t>Revue annuelle</t>
        </is>
      </c>
      <c r="I90" s="4" t="inlineStr">
        <is>
          <t>Prestations</t>
        </is>
      </c>
      <c r="J90" s="4" t="inlineStr">
        <is>
          <t>Infogérance bureautique</t>
        </is>
      </c>
      <c r="K90" s="4" t="inlineStr">
        <is>
          <t>RFI/RFP</t>
        </is>
      </c>
      <c r="L90" s="4" t="inlineStr">
        <is>
          <t>5.2.1</t>
        </is>
      </c>
      <c r="M90" s="4" t="n">
        <v>31</v>
      </c>
    </row>
    <row r="91">
      <c r="A91" s="2" t="inlineStr">
        <is>
          <t>INF-Q-02</t>
        </is>
      </c>
      <c r="B91" s="2" t="inlineStr">
        <is>
          <t>Infogérance à distance</t>
        </is>
      </c>
      <c r="C91" s="4" t="inlineStr">
        <is>
          <t>Support utilisateurs</t>
        </is>
      </c>
      <c r="D91" s="4" t="inlineStr"/>
      <c r="E91" s="4" t="inlineStr"/>
      <c r="F91" s="4" t="inlineStr">
        <is>
          <t>• Quelles actions de support sont réalisées à distance ?</t>
        </is>
      </c>
      <c r="G91" s="4" t="inlineStr">
        <is>
          <t>Prise en main systématique à distance</t>
        </is>
      </c>
      <c r="H91" s="4" t="inlineStr">
        <is>
          <t>Solution innovante</t>
        </is>
      </c>
      <c r="I91" s="4" t="inlineStr">
        <is>
          <t>Prestations</t>
        </is>
      </c>
      <c r="J91" s="4" t="inlineStr">
        <is>
          <t>Infogérance bureautique</t>
        </is>
      </c>
      <c r="K91" s="4" t="inlineStr">
        <is>
          <t>RFI/RFP</t>
        </is>
      </c>
      <c r="L91" s="4" t="inlineStr">
        <is>
          <t>5.2.1</t>
        </is>
      </c>
      <c r="M91" s="4" t="n">
        <v>31</v>
      </c>
    </row>
    <row r="92">
      <c r="A92" s="2" t="inlineStr">
        <is>
          <t>INF-Q-03</t>
        </is>
      </c>
      <c r="B92" s="2" t="inlineStr">
        <is>
          <t>Infogérance à distance</t>
        </is>
      </c>
      <c r="C92" s="4" t="inlineStr">
        <is>
          <t>Mises à jour,
patching</t>
        </is>
      </c>
      <c r="D92" s="4" t="inlineStr"/>
      <c r="E92" s="4" t="inlineStr"/>
      <c r="F92" s="4" t="inlineStr">
        <is>
          <t>• Quelles sont les mises à jour type réalisées à distance ?</t>
        </is>
      </c>
      <c r="G92" s="4" t="inlineStr">
        <is>
          <t>Toutes les mises à jour hors situation de crise (patchs de sécurité, majeures, mise à jour mineures, …) sauf celles impliquant un changement de pièce matériel</t>
        </is>
      </c>
      <c r="H92" s="4" t="inlineStr"/>
      <c r="I92" s="4" t="inlineStr">
        <is>
          <t>Prestations</t>
        </is>
      </c>
      <c r="J92" s="4" t="inlineStr">
        <is>
          <t>Infogérance bureautique</t>
        </is>
      </c>
      <c r="K92" s="4" t="inlineStr">
        <is>
          <t>RFI/RFP</t>
        </is>
      </c>
      <c r="L92" s="4" t="inlineStr">
        <is>
          <t>5.2.1</t>
        </is>
      </c>
      <c r="M92" s="4" t="n">
        <v>31</v>
      </c>
    </row>
    <row r="93">
      <c r="A93" s="2" t="inlineStr">
        <is>
          <t>INF-Q-04</t>
        </is>
      </c>
      <c r="B93" s="2" t="inlineStr">
        <is>
          <t>Optimisation durable de la Supply Chain</t>
        </is>
      </c>
      <c r="C93" s="4" t="inlineStr"/>
      <c r="D93" s="4" t="inlineStr"/>
      <c r="E93" s="4" t="inlineStr"/>
      <c r="F93" s="4" t="inlineStr">
        <is>
          <t>• Comment optimisez-vous vos niveaux de stocks pour éviter l'obsolescence prématurée et le gaspillage de composants ?
• Quels processus logistiques avez-vous mis en place pour assurer la collecte et le traitement (réemploi ou recyclage) des équipements en fin de vie ?
• Quelles mesures appliquez-vous pour supprimer les plastiques à usage unique et minimiser le vide dans vos colis d'expédition ?
• Quelle est votre démarche de réduction de l'empreinte carbone liée au transport et à la livraison des équipements (Scope 3) ?</t>
        </is>
      </c>
      <c r="G93" s="4" t="inlineStr">
        <is>
          <t>• Transparence sur les modes de transport utilisés et engagement de réduction des émissions.
• Procédure de gestion des stocks évitant la mise au rebut de produits neufs.
• Capacité à reprendre le matériel usagé lors de la livraison du matériel neuf.</t>
        </is>
      </c>
      <c r="H93" s="4" t="inlineStr">
        <is>
          <t>• Livraison "Zéro Émission" (100% électrique ou mobilité douce) sur les zones urbaines.
• Système de consigne ou de "Product-as-a-Service" : le prestataire reste propriétaire et assure la maintenance totale.</t>
        </is>
      </c>
      <c r="I93" s="4" t="inlineStr">
        <is>
          <t>Prestations</t>
        </is>
      </c>
      <c r="J93" s="4" t="inlineStr">
        <is>
          <t>Infogérance bureautique</t>
        </is>
      </c>
      <c r="K93" s="4" t="inlineStr">
        <is>
          <t>RFI/RFP</t>
        </is>
      </c>
      <c r="L93" s="4" t="inlineStr">
        <is>
          <t>5.2.1</t>
        </is>
      </c>
      <c r="M93" s="4" t="n">
        <v>31</v>
      </c>
    </row>
    <row r="94">
      <c r="A94" s="2" t="inlineStr">
        <is>
          <t>INF-Q-05</t>
        </is>
      </c>
      <c r="B94" s="2" t="inlineStr">
        <is>
          <t>Réparation des matériels</t>
        </is>
      </c>
      <c r="C94" s="4" t="inlineStr"/>
      <c r="D94" s="4" t="inlineStr"/>
      <c r="E94" s="4" t="inlineStr"/>
      <c r="F94" s="4" t="inlineStr">
        <is>
          <t>• Où sont situés vos centres de réparation ? Privilégiez-vous des réseaux de réparateurs locaux pour limiter l'impact du transport ?
• Détaillez votre capacité d'intervention : s'agit-il de remplacements de modules complets ou de réparations au composant (plus sobre) ?
• Comment garantissez-vous la disponibilité des pièces sur le long terme ? Disposez-vous d'un stock tampon dédié au contrat ?</t>
        </is>
      </c>
      <c r="G94" s="4" t="inlineStr">
        <is>
          <t>• Disponibilité des pièces pendant 5 ans minimum.
• Centre de réparation situé dans l'Union Européenne.
• Matériel standard dont la batterie et l'écran sont remplaçables avec des outils courants.</t>
        </is>
      </c>
      <c r="H94" s="4" t="inlineStr">
        <is>
          <t>• Disponibilité étendue à 10 ans ou engagement de fourniture de pièces issues de l'économie circulaire (reconditionnées).
• Être vigilant quant à l’appréciation de la proximité des centres de réparation. Dans le cadre de la commande publique, il est généralement préférable de privilégier une exigence de réactivité plutôt qu’une appréciation de la distance, afin d’éviter tout risque d’atteinte au principe d’égalité de traitement. (Exemple : prise en compte du ticket sous 1H et une intervention sur place sous 2H)
• Atelier de réparation interne certifié ou partenariat avec une Entreprise Adaptée/ESAT spécialisée dans le SAV.</t>
        </is>
      </c>
      <c r="I94" s="4" t="inlineStr">
        <is>
          <t>Prestations</t>
        </is>
      </c>
      <c r="J94" s="4" t="inlineStr">
        <is>
          <t>Infogérance bureautique</t>
        </is>
      </c>
      <c r="K94" s="4" t="inlineStr">
        <is>
          <t>RFI/RFP</t>
        </is>
      </c>
      <c r="L94" s="4" t="inlineStr">
        <is>
          <t>5.2.1</t>
        </is>
      </c>
      <c r="M94" s="4" t="n">
        <v>31</v>
      </c>
    </row>
    <row r="95">
      <c r="A95" s="2" t="inlineStr">
        <is>
          <t>IA-Q-01</t>
        </is>
      </c>
      <c r="B95" s="2" t="inlineStr">
        <is>
          <t>Mesure de l'Empreinte Carbone</t>
        </is>
      </c>
      <c r="C95" s="4" t="inlineStr">
        <is>
          <t>ISO/IEC 21031 :2024 (SCI), RIA31. Focus sur le cycle de vie.</t>
        </is>
      </c>
      <c r="D95" s="4" t="inlineStr"/>
      <c r="E95" s="4" t="inlineStr"/>
      <c r="F95" s="4" t="inlineStr">
        <is>
          <t>• Publiez-vous les indicateurs d'impact du service (Scopes 1, 2, 3) ? Quelle est l'empreinte spécifique à l'usage (inférence) ?</t>
        </is>
      </c>
      <c r="G95" s="4" t="inlineStr">
        <is>
          <t>• Publication du GWP (Global Warming Potential) lié à la phase d'inférence.</t>
        </is>
      </c>
      <c r="H95" s="4" t="inlineStr">
        <is>
          <t>• Dashboard dynamique incluant GWP et WCF (Water Footprint). Périmètre complet : Entraînement + Inférence.</t>
        </is>
      </c>
      <c r="I95" s="4" t="inlineStr">
        <is>
          <t>IA</t>
        </is>
      </c>
      <c r="J95" s="4" t="inlineStr">
        <is>
          <t>IA et IAg prêt à l’emploi (chabot, détection automatique, …)</t>
        </is>
      </c>
      <c r="K95" s="4" t="inlineStr">
        <is>
          <t>RFI/RFP</t>
        </is>
      </c>
      <c r="L95" s="4" t="inlineStr">
        <is>
          <t>6.3</t>
        </is>
      </c>
      <c r="M95" s="4" t="n">
        <v>35</v>
      </c>
    </row>
    <row r="96">
      <c r="A96" s="2" t="inlineStr">
        <is>
          <t>IA-Q-02</t>
        </is>
      </c>
      <c r="B96" s="2" t="inlineStr">
        <is>
          <t>Efficience &amp; Frugalité Numérique</t>
        </is>
      </c>
      <c r="C96" s="4" t="inlineStr">
        <is>
          <t>AFNOR Spec IA Frugale, ISO 42001. Techniques : Quantization, Pruning, Caching.</t>
        </is>
      </c>
      <c r="D96" s="4" t="inlineStr"/>
      <c r="E96" s="4" t="inlineStr"/>
      <c r="F96" s="4" t="inlineStr">
        <is>
          <t>• Quelles techniques d'optimisation (distillation, batching, etc.) sont appliquées pour réduire l'énergie par requête ?</t>
        </is>
      </c>
      <c r="G96" s="4" t="inlineStr">
        <is>
          <t>• Preuve d'optimisation entre le modèle labo et la prod. Justifier le choix de l'Unité Fonctionnelle (ex : pour 1k tokens).</t>
        </is>
      </c>
      <c r="H96" s="4" t="inlineStr">
        <is>
          <t>• Réduction mesurée de X % de la consommation et ressources et empreinte environnementale grâce aux optimisations. Conformité auditée à l'AFNOR Spec IA Frugale.</t>
        </is>
      </c>
      <c r="I96" s="4" t="inlineStr">
        <is>
          <t>IA</t>
        </is>
      </c>
      <c r="J96" s="4" t="inlineStr">
        <is>
          <t>IA et IAg prêt à l’emploi (chabot, détection automatique, …)</t>
        </is>
      </c>
      <c r="K96" s="4" t="inlineStr">
        <is>
          <t>RFI/RFP</t>
        </is>
      </c>
      <c r="L96" s="4" t="inlineStr">
        <is>
          <t>6.3</t>
        </is>
      </c>
      <c r="M96" s="4" t="n">
        <v>35</v>
      </c>
    </row>
    <row r="97">
      <c r="A97" s="2" t="inlineStr">
        <is>
          <t>IA-Q-03</t>
        </is>
      </c>
      <c r="B97" s="2" t="inlineStr">
        <is>
          <t>Localisation &amp; Intensité Carbone</t>
        </is>
      </c>
      <c r="C97" s="4" t="inlineStr">
        <is>
          <t>Localisation des serveurs de calcul (GPU/TPU).</t>
        </is>
      </c>
      <c r="D97" s="4" t="inlineStr"/>
      <c r="E97" s="4" t="inlineStr"/>
      <c r="F97" s="4" t="inlineStr">
        <is>
          <t>• Où sont physiquement réalisés l'entraînement et l'inférence ?
• Quel est le mix énergétique utilisé par le(s) datacenter(s) hébergeant la solution IA (répartition en % des sources d’énergie, notamment renouvelables) ?
• Choix du lieu d'hébergement du service en phase d'inférence ?</t>
        </is>
      </c>
      <c r="G97" s="4" t="inlineStr">
        <is>
          <t>• Déclaration du pays d'hébergement et conformité aux exigences de la section 3.1 (Infrastructure).</t>
        </is>
      </c>
      <c r="H97" s="4" t="inlineStr">
        <is>
          <t>• Choix de régions à faible intensité carbone (Location-based) et transparence sur les pics de consommation.</t>
        </is>
      </c>
      <c r="I97" s="4" t="inlineStr">
        <is>
          <t>IA</t>
        </is>
      </c>
      <c r="J97" s="4" t="inlineStr">
        <is>
          <t>IA et IAg prêt à l’emploi (chabot, détection automatique, …)</t>
        </is>
      </c>
      <c r="K97" s="4" t="inlineStr">
        <is>
          <t>RFI/RFP</t>
        </is>
      </c>
      <c r="L97" s="4" t="inlineStr">
        <is>
          <t>6.3</t>
        </is>
      </c>
      <c r="M97" s="4" t="n">
        <v>36</v>
      </c>
    </row>
    <row r="98">
      <c r="A98" s="2" t="inlineStr">
        <is>
          <t>IA-Q-04</t>
        </is>
      </c>
      <c r="B98" s="2" t="inlineStr">
        <is>
          <t>Empreinte Environnementale</t>
        </is>
      </c>
      <c r="C98" s="4" t="inlineStr">
        <is>
          <t>Conformité à l'Art. 53(1) Point (a) pour les modèles d'IA à usage général.</t>
        </is>
      </c>
      <c r="D98" s="4" t="inlineStr"/>
      <c r="E98" s="4" t="inlineStr"/>
      <c r="F98" s="4" t="inlineStr">
        <is>
          <t>Dans le but d‘estimer l’empreinte de ces modèles quels données sont-elles mises à disposition de vos clients</t>
        </is>
      </c>
      <c r="G98" s="4" t="inlineStr">
        <is>
          <t>Mise à disposition des données de tokens</t>
        </is>
      </c>
      <c r="H98" s="4" t="inlineStr">
        <is>
          <t>Dashboard détaillé incluant l'intensité carbone (CO2e) par requête et l'empreinte eau (WUE).</t>
        </is>
      </c>
      <c r="I98" s="4" t="inlineStr">
        <is>
          <t>IA</t>
        </is>
      </c>
      <c r="J98" s="4" t="inlineStr">
        <is>
          <t>IA / Accès à des modèles fondationnels</t>
        </is>
      </c>
      <c r="K98" s="4" t="inlineStr">
        <is>
          <t>RFI/RFP</t>
        </is>
      </c>
      <c r="L98" s="4" t="inlineStr">
        <is>
          <t>6.4</t>
        </is>
      </c>
      <c r="M98" s="4" t="n">
        <v>36</v>
      </c>
    </row>
    <row r="99">
      <c r="A99" s="2" t="inlineStr">
        <is>
          <t>IA-Q-05</t>
        </is>
      </c>
      <c r="B99" s="2" t="inlineStr">
        <is>
          <t>Gouvernance des Données</t>
        </is>
      </c>
      <c r="C99" s="4" t="inlineStr">
        <is>
          <t>Respect de la propriété intellectuelle et de la qualité des données.</t>
        </is>
      </c>
      <c r="D99" s="4" t="inlineStr"/>
      <c r="E99" s="4" t="inlineStr"/>
      <c r="F99" s="4" t="inlineStr">
        <is>
          <t>Pouvez-vous fournir un résumé du contenu utilisé pour l'entraînement et prouver le respect du droit d'auteur ?</t>
        </is>
      </c>
      <c r="G99" s="4" t="inlineStr">
        <is>
          <t>Publication d'un résumé détaillé du corpus d'entraînement (Art. 53).</t>
        </is>
      </c>
      <c r="H99" s="4" t="inlineStr">
        <is>
          <t>Audit tiers sur la provenance éthique des données et l'absence de biais majeurs.</t>
        </is>
      </c>
      <c r="I99" s="4" t="inlineStr">
        <is>
          <t>IA</t>
        </is>
      </c>
      <c r="J99" s="4" t="inlineStr">
        <is>
          <t>IA / Accès à des modèles fondationnels</t>
        </is>
      </c>
      <c r="K99" s="4" t="inlineStr">
        <is>
          <t>RFI/RFP</t>
        </is>
      </c>
      <c r="L99" s="4" t="inlineStr">
        <is>
          <t>6.4</t>
        </is>
      </c>
      <c r="M99" s="4" t="n">
        <v>36</v>
      </c>
    </row>
    <row r="100">
      <c r="A100" s="2" t="inlineStr">
        <is>
          <t>IA-Q-06</t>
        </is>
      </c>
      <c r="B100" s="2" t="inlineStr">
        <is>
          <t>Sobriété du Modèle</t>
        </is>
      </c>
      <c r="C100" s="4" t="inlineStr">
        <is>
          <t>Optimisation des ressources pour un service équivalent.</t>
        </is>
      </c>
      <c r="D100" s="4" t="inlineStr"/>
      <c r="E100" s="4" t="inlineStr"/>
      <c r="F100" s="4" t="inlineStr">
        <is>
          <t>Quelles techniques de "frugalité" (quantification, distillation) ont été appliquées au modèle ?</t>
        </is>
      </c>
      <c r="G100" s="4" t="inlineStr">
        <is>
          <t>Documentation technique sur l'architecture du modèle et son efficacité relative.</t>
        </is>
      </c>
      <c r="H100" s="4" t="inlineStr">
        <is>
          <t>Preuve de réduction de la consommation par rapport à la version précédente à performance égale.</t>
        </is>
      </c>
      <c r="I100" s="4" t="inlineStr">
        <is>
          <t>IA</t>
        </is>
      </c>
      <c r="J100" s="4" t="inlineStr">
        <is>
          <t>IA / Accès à des modèles fondationnels</t>
        </is>
      </c>
      <c r="K100" s="4" t="inlineStr">
        <is>
          <t>RFI/RFP</t>
        </is>
      </c>
      <c r="L100" s="4" t="inlineStr">
        <is>
          <t>6.4</t>
        </is>
      </c>
      <c r="M100" s="4" t="n">
        <v>36</v>
      </c>
    </row>
    <row r="101">
      <c r="A101" s="2" t="inlineStr">
        <is>
          <t>IA-Q-07</t>
        </is>
      </c>
      <c r="B101" s="2" t="inlineStr">
        <is>
          <t>Empreinte environnementale</t>
        </is>
      </c>
      <c r="C101" s="4" t="inlineStr">
        <is>
          <t>Transparence sur l’usage des ressources et la méthodologie de calcul de l'impact carbone.</t>
        </is>
      </c>
      <c r="D101" s="4" t="inlineStr"/>
      <c r="E101" s="4" t="inlineStr"/>
      <c r="F101" s="4" t="inlineStr">
        <is>
          <t>Fournissez-vous les fiches Product Carbon Footprint (PCF) ? Quelle méthodologie d’évaluation des impacts utilisez-vous ?</t>
        </is>
      </c>
      <c r="G101" s="4" t="inlineStr">
        <is>
          <t>Publication systématique des fiches PCF par équipement.</t>
        </is>
      </c>
      <c r="H101" s="4" t="inlineStr">
        <is>
          <t>Analyse de Cycle de Vie (ACV) multicritères (eau, métaux) certifiée par un organisme tiers.</t>
        </is>
      </c>
      <c r="I101" s="4" t="inlineStr">
        <is>
          <t>IA</t>
        </is>
      </c>
      <c r="J101" s="4" t="inlineStr">
        <is>
          <t>IA / Infrastructure de développement et de déploiement ou de stockage des données</t>
        </is>
      </c>
      <c r="K101" s="4" t="inlineStr">
        <is>
          <t>RFI/RFP</t>
        </is>
      </c>
      <c r="L101" s="4" t="inlineStr">
        <is>
          <t>6.5</t>
        </is>
      </c>
      <c r="M101" s="4" t="n">
        <v>36</v>
      </c>
    </row>
    <row r="102">
      <c r="A102" s="2" t="inlineStr">
        <is>
          <t>IA-Q-08</t>
        </is>
      </c>
      <c r="B102" s="2" t="inlineStr">
        <is>
          <t>Efficacité énergétique</t>
        </is>
      </c>
      <c r="C102" s="4" t="inlineStr">
        <is>
          <t>Analyse de la performance par Watt via des certificats (Energy Star ou équivalent) et des benchmarks de calcul (FLOPS).</t>
        </is>
      </c>
      <c r="D102" s="4" t="inlineStr"/>
      <c r="E102" s="4" t="inlineStr"/>
      <c r="F102" s="4" t="inlineStr">
        <is>
          <t>Publiez-vous les données de puissance de calcul et de consommation réelle en charge (TDP) ?</t>
        </is>
      </c>
      <c r="G102" s="4" t="inlineStr">
        <is>
          <t>Publication des données d'efficacité énergétique et certificats types.</t>
        </is>
      </c>
      <c r="H102" s="4" t="inlineStr">
        <is>
          <t>Garantie d'un ratio Performance/Watt supérieur aux standards et benchmarks spécifiques par cas d'usage (entraînement vs inférence).</t>
        </is>
      </c>
      <c r="I102" s="4" t="inlineStr">
        <is>
          <t>IA</t>
        </is>
      </c>
      <c r="J102" s="4" t="inlineStr">
        <is>
          <t>IA / Infrastructure de développement et de déploiement ou de stockage des données</t>
        </is>
      </c>
      <c r="K102" s="4" t="inlineStr">
        <is>
          <t>RFI/RFP</t>
        </is>
      </c>
      <c r="L102" s="4" t="inlineStr">
        <is>
          <t>6.5</t>
        </is>
      </c>
      <c r="M102" s="4" t="n">
        <v>36</v>
      </c>
    </row>
    <row r="103">
      <c r="A103" s="2" t="inlineStr">
        <is>
          <t>IA-Q-09</t>
        </is>
      </c>
      <c r="B103" s="2" t="inlineStr">
        <is>
          <t>Écoconception matérielle</t>
        </is>
      </c>
      <c r="C103" s="4" t="inlineStr">
        <is>
          <t>Capacité du matériel à être réparé et maintenu pour prolonger sa durée de vie.</t>
        </is>
      </c>
      <c r="D103" s="4" t="inlineStr"/>
      <c r="E103" s="4" t="inlineStr"/>
      <c r="F103" s="4" t="inlineStr">
        <is>
          <t>Quel est l'indice de réparabilité du matériel et la durée de disponibilité des pièces détachées ?</t>
        </is>
      </c>
      <c r="G103" s="4" t="inlineStr">
        <is>
          <t>Disponibilité des pièces détachées garantie sur 5 ans.</t>
        </is>
      </c>
      <c r="H103" s="4" t="inlineStr">
        <is>
          <t>Matériel modulaire facilitant l'évolution des composants sans remplacement du châssis.</t>
        </is>
      </c>
      <c r="I103" s="4" t="inlineStr">
        <is>
          <t>IA</t>
        </is>
      </c>
      <c r="J103" s="4" t="inlineStr">
        <is>
          <t>IA / Infrastructure de développement et de déploiement ou de stockage des données</t>
        </is>
      </c>
      <c r="K103" s="4" t="inlineStr">
        <is>
          <t>RFI/RFP</t>
        </is>
      </c>
      <c r="L103" s="4" t="inlineStr">
        <is>
          <t>6.5</t>
        </is>
      </c>
      <c r="M103" s="4" t="n">
        <v>37</v>
      </c>
    </row>
  </sheetData>
  <pageMargins left="0.4" right="0.4" top="1" bottom="1" header="0.5" footer="0.5"/>
  <pageSetup orientation="landscape" paperSize="9" fitToHeight="0" fitToWidth="1"/>
  <headerFooter>
    <oddHeader/>
    <oddFooter>&amp;C&amp;A — page &amp;P /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G105"/>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1" customWidth="1" min="1" max="1"/>
    <col width="15" customWidth="1" min="2" max="2"/>
    <col width="24" customWidth="1" min="3" max="3"/>
    <col width="13" customWidth="1" min="4" max="4"/>
    <col width="60" customWidth="1" min="5" max="5"/>
    <col width="10" customWidth="1" min="6" max="6"/>
    <col width="7" customWidth="1" min="7" max="7"/>
  </cols>
  <sheetData>
    <row r="1">
      <c r="A1" s="7" t="inlineStr">
        <is>
          <t>Choisissez « Oui » dans la colonne « Retenir » (cellules jaunes) pour chaque clause à retenir.</t>
        </is>
      </c>
    </row>
    <row r="2">
      <c r="A2" s="7" t="inlineStr">
        <is>
          <t>Clauses retenues :</t>
        </is>
      </c>
      <c r="C2" s="7">
        <f>COUNTIF(F4:F105,"Oui")</f>
        <v/>
      </c>
    </row>
    <row r="3">
      <c r="A3" s="6" t="inlineStr">
        <is>
          <t>ID</t>
        </is>
      </c>
      <c r="B3" s="6" t="inlineStr">
        <is>
          <t>Segment</t>
        </is>
      </c>
      <c r="C3" s="6" t="inlineStr">
        <is>
          <t>Sous segment</t>
        </is>
      </c>
      <c r="D3" s="6" t="inlineStr">
        <is>
          <t>Phase</t>
        </is>
      </c>
      <c r="E3" s="6" t="inlineStr">
        <is>
          <t>Clause</t>
        </is>
      </c>
      <c r="F3" s="6" t="inlineStr">
        <is>
          <t>Retenir</t>
        </is>
      </c>
      <c r="G3" s="6" t="inlineStr">
        <is>
          <t>Rang</t>
        </is>
      </c>
    </row>
    <row r="4">
      <c r="A4" s="2" t="inlineStr">
        <is>
          <t>COM-Q-01</t>
        </is>
      </c>
      <c r="B4" s="4" t="inlineStr">
        <is>
          <t>- Transverse -</t>
        </is>
      </c>
      <c r="C4" s="4" t="inlineStr"/>
      <c r="D4" s="4" t="inlineStr">
        <is>
          <t>RFI/RFP</t>
        </is>
      </c>
      <c r="E4" s="4" t="inlineStr">
        <is>
          <t>Labels et démarches RSE appliquées aux activités numériques et IT</t>
        </is>
      </c>
      <c r="F4" s="8" t="n"/>
      <c r="G4" s="9">
        <f>IF(F4="Oui",COUNTIF(F$4:F4,"Oui"),"")</f>
        <v/>
      </c>
    </row>
    <row r="5">
      <c r="A5" s="2" t="inlineStr">
        <is>
          <t>COM-Q-02</t>
        </is>
      </c>
      <c r="B5" s="4" t="inlineStr">
        <is>
          <t>- Transverse -</t>
        </is>
      </c>
      <c r="C5" s="4" t="inlineStr"/>
      <c r="D5" s="4" t="inlineStr">
        <is>
          <t>RFI/RFP</t>
        </is>
      </c>
      <c r="E5" s="4" t="inlineStr">
        <is>
          <t>Labels et démarches Numérique responsable</t>
        </is>
      </c>
      <c r="F5" s="8" t="n"/>
      <c r="G5" s="9">
        <f>IF(F5="Oui",COUNTIF(F$4:F5,"Oui"),"")</f>
        <v/>
      </c>
    </row>
    <row r="6">
      <c r="A6" s="2" t="inlineStr">
        <is>
          <t>COM-Q-03</t>
        </is>
      </c>
      <c r="B6" s="4" t="inlineStr">
        <is>
          <t>- Transverse -</t>
        </is>
      </c>
      <c r="C6" s="4" t="inlineStr"/>
      <c r="D6" s="4" t="inlineStr">
        <is>
          <t>RFI/RFP</t>
        </is>
      </c>
      <c r="E6" s="4" t="inlineStr">
        <is>
          <t>Équité, Diversité et Inclusion</t>
        </is>
      </c>
      <c r="F6" s="8" t="n"/>
      <c r="G6" s="9">
        <f>IF(F6="Oui",COUNTIF(F$4:F6,"Oui"),"")</f>
        <v/>
      </c>
    </row>
    <row r="7">
      <c r="A7" s="2" t="inlineStr">
        <is>
          <t>COM-Q-04</t>
        </is>
      </c>
      <c r="B7" s="4" t="inlineStr">
        <is>
          <t>- Transverse -</t>
        </is>
      </c>
      <c r="C7" s="4" t="inlineStr"/>
      <c r="D7" s="4" t="inlineStr">
        <is>
          <t>RFI/RFP</t>
        </is>
      </c>
      <c r="E7" s="4" t="inlineStr">
        <is>
          <t>Devoir de Vigilance et Droits Fondamentaux</t>
        </is>
      </c>
      <c r="F7" s="8" t="n"/>
      <c r="G7" s="9">
        <f>IF(F7="Oui",COUNTIF(F$4:F7,"Oui"),"")</f>
        <v/>
      </c>
    </row>
    <row r="8">
      <c r="A8" s="2" t="inlineStr">
        <is>
          <t>COM-Q-05</t>
        </is>
      </c>
      <c r="B8" s="4" t="inlineStr">
        <is>
          <t>- Transverse -</t>
        </is>
      </c>
      <c r="C8" s="4" t="inlineStr"/>
      <c r="D8" s="4" t="inlineStr">
        <is>
          <t>RFI/RFP</t>
        </is>
      </c>
      <c r="E8" s="4" t="inlineStr">
        <is>
          <t>Souveraineté numérique</t>
        </is>
      </c>
      <c r="F8" s="8" t="n"/>
      <c r="G8" s="9">
        <f>IF(F8="Oui",COUNTIF(F$4:F8,"Oui"),"")</f>
        <v/>
      </c>
    </row>
    <row r="9">
      <c r="A9" s="2" t="inlineStr">
        <is>
          <t>COM-Q-06</t>
        </is>
      </c>
      <c r="B9" s="4" t="inlineStr">
        <is>
          <t>- Transverse -</t>
        </is>
      </c>
      <c r="C9" s="4" t="inlineStr"/>
      <c r="D9" s="4" t="inlineStr">
        <is>
          <t>RFI/RFP</t>
        </is>
      </c>
      <c r="E9" s="4" t="inlineStr">
        <is>
          <t>Transparence sur l’empreinte environnementale de l’entreprise</t>
        </is>
      </c>
      <c r="F9" s="8" t="n"/>
      <c r="G9" s="9">
        <f>IF(F9="Oui",COUNTIF(F$4:F9,"Oui"),"")</f>
        <v/>
      </c>
    </row>
    <row r="10">
      <c r="A10" s="2" t="inlineStr">
        <is>
          <t>COM-Q-07</t>
        </is>
      </c>
      <c r="B10" s="4" t="inlineStr">
        <is>
          <t>- Transverse -</t>
        </is>
      </c>
      <c r="C10" s="4" t="inlineStr"/>
      <c r="D10" s="4" t="inlineStr">
        <is>
          <t>RFI/RFP</t>
        </is>
      </c>
      <c r="E10" s="4" t="inlineStr">
        <is>
          <t>Objectifs globaux de réduction des émissions de gaz à effet de serre</t>
        </is>
      </c>
      <c r="F10" s="8" t="n"/>
      <c r="G10" s="9">
        <f>IF(F10="Oui",COUNTIF(F$4:F10,"Oui"),"")</f>
        <v/>
      </c>
    </row>
    <row r="11">
      <c r="A11" s="2" t="inlineStr">
        <is>
          <t>COM-Q-08</t>
        </is>
      </c>
      <c r="B11" s="4" t="inlineStr">
        <is>
          <t>- Transverse -</t>
        </is>
      </c>
      <c r="C11" s="4" t="inlineStr"/>
      <c r="D11" s="4" t="inlineStr">
        <is>
          <t>RFI/RFP</t>
        </is>
      </c>
      <c r="E11" s="4" t="inlineStr">
        <is>
          <t>Empreinte environnementale de la prestation</t>
        </is>
      </c>
      <c r="F11" s="8" t="n"/>
      <c r="G11" s="9">
        <f>IF(F11="Oui",COUNTIF(F$4:F11,"Oui"),"")</f>
        <v/>
      </c>
    </row>
    <row r="12">
      <c r="A12" s="2" t="inlineStr">
        <is>
          <t>COM-Q-09</t>
        </is>
      </c>
      <c r="B12" s="4" t="inlineStr">
        <is>
          <t>- Transverse -</t>
        </is>
      </c>
      <c r="C12" s="4" t="inlineStr"/>
      <c r="D12" s="4" t="inlineStr">
        <is>
          <t>RFI/RFP</t>
        </is>
      </c>
      <c r="E12" s="4" t="inlineStr">
        <is>
          <t>Formation Numérique Responsable</t>
        </is>
      </c>
      <c r="F12" s="8" t="n"/>
      <c r="G12" s="9">
        <f>IF(F12="Oui",COUNTIF(F$4:F12,"Oui"),"")</f>
        <v/>
      </c>
    </row>
    <row r="13">
      <c r="A13" s="2" t="inlineStr">
        <is>
          <t>COM-Q-10</t>
        </is>
      </c>
      <c r="B13" s="4" t="inlineStr">
        <is>
          <t>- Transverse -</t>
        </is>
      </c>
      <c r="C13" s="4" t="inlineStr"/>
      <c r="D13" s="4" t="inlineStr">
        <is>
          <t>RFI/RFP</t>
        </is>
      </c>
      <c r="E13" s="4" t="inlineStr">
        <is>
          <t>Déplacements professionnels de la prestation</t>
        </is>
      </c>
      <c r="F13" s="8" t="n"/>
      <c r="G13" s="9">
        <f>IF(F13="Oui",COUNTIF(F$4:F13,"Oui"),"")</f>
        <v/>
      </c>
    </row>
    <row r="14">
      <c r="A14" s="2" t="inlineStr">
        <is>
          <t>COM-Q-11</t>
        </is>
      </c>
      <c r="B14" s="4" t="inlineStr">
        <is>
          <t>- Transverse -</t>
        </is>
      </c>
      <c r="C14" s="4" t="inlineStr"/>
      <c r="D14" s="4" t="inlineStr">
        <is>
          <t>RFI/RFP</t>
        </is>
      </c>
      <c r="E14" s="4" t="inlineStr">
        <is>
          <t>Déplacement domicile / travail</t>
        </is>
      </c>
      <c r="F14" s="8" t="n"/>
      <c r="G14" s="9">
        <f>IF(F14="Oui",COUNTIF(F$4:F14,"Oui"),"")</f>
        <v/>
      </c>
    </row>
    <row r="15">
      <c r="A15" s="2" t="inlineStr">
        <is>
          <t>COM-Q-12</t>
        </is>
      </c>
      <c r="B15" s="4" t="inlineStr">
        <is>
          <t>- Transverse -</t>
        </is>
      </c>
      <c r="C15" s="4" t="inlineStr"/>
      <c r="D15" s="4" t="inlineStr">
        <is>
          <t>RFI/RFP</t>
        </is>
      </c>
      <c r="E15" s="4" t="inlineStr">
        <is>
          <t>Compensation CO2</t>
        </is>
      </c>
      <c r="F15" s="8" t="n"/>
      <c r="G15" s="9">
        <f>IF(F15="Oui",COUNTIF(F$4:F15,"Oui"),"")</f>
        <v/>
      </c>
    </row>
    <row r="16">
      <c r="A16" s="2" t="inlineStr">
        <is>
          <t>COM-Q-13</t>
        </is>
      </c>
      <c r="B16" s="4" t="inlineStr">
        <is>
          <t>- Transverse -</t>
        </is>
      </c>
      <c r="C16" s="4" t="inlineStr"/>
      <c r="D16" s="4" t="inlineStr">
        <is>
          <t>RFI/RFP</t>
        </is>
      </c>
      <c r="E16" s="4" t="inlineStr">
        <is>
          <t>Immunité Juridique et Souveraineté des Données</t>
        </is>
      </c>
      <c r="F16" s="8" t="n"/>
      <c r="G16" s="9">
        <f>IF(F16="Oui",COUNTIF(F$4:F16,"Oui"),"")</f>
        <v/>
      </c>
    </row>
    <row r="17">
      <c r="A17" s="2" t="inlineStr">
        <is>
          <t>COM-Q-14</t>
        </is>
      </c>
      <c r="B17" s="4" t="inlineStr">
        <is>
          <t>- Transverse -</t>
        </is>
      </c>
      <c r="C17" s="4" t="inlineStr"/>
      <c r="D17" s="4" t="inlineStr">
        <is>
          <t>RFI/RFP</t>
        </is>
      </c>
      <c r="E17" s="4" t="inlineStr">
        <is>
          <t>Localisation des données &amp; traitements</t>
        </is>
      </c>
      <c r="F17" s="8" t="n"/>
      <c r="G17" s="9">
        <f>IF(F17="Oui",COUNTIF(F$4:F17,"Oui"),"")</f>
        <v/>
      </c>
    </row>
    <row r="18">
      <c r="A18" s="2" t="inlineStr">
        <is>
          <t>COM-Q-15</t>
        </is>
      </c>
      <c r="B18" s="4" t="inlineStr">
        <is>
          <t>- Transverse -</t>
        </is>
      </c>
      <c r="C18" s="4" t="inlineStr"/>
      <c r="D18" s="4" t="inlineStr">
        <is>
          <t>RFI/RFP</t>
        </is>
      </c>
      <c r="E18" s="4" t="inlineStr">
        <is>
          <t>Structure capitalistique</t>
        </is>
      </c>
      <c r="F18" s="8" t="n"/>
      <c r="G18" s="9">
        <f>IF(F18="Oui",COUNTIF(F$4:F18,"Oui"),"")</f>
        <v/>
      </c>
    </row>
    <row r="19">
      <c r="A19" s="2" t="inlineStr">
        <is>
          <t>COM-Q-16</t>
        </is>
      </c>
      <c r="B19" s="4" t="inlineStr">
        <is>
          <t>- Transverse -</t>
        </is>
      </c>
      <c r="C19" s="4" t="inlineStr"/>
      <c r="D19" s="4" t="inlineStr">
        <is>
          <t>RFI/RFP</t>
        </is>
      </c>
      <c r="E19" s="4" t="inlineStr">
        <is>
          <t>Justification et Frugalité du modèle d'IA</t>
        </is>
      </c>
      <c r="F19" s="8" t="n"/>
      <c r="G19" s="9">
        <f>IF(F19="Oui",COUNTIF(F$4:F19,"Oui"),"")</f>
        <v/>
      </c>
    </row>
    <row r="20">
      <c r="A20" s="2" t="inlineStr">
        <is>
          <t>COM-Q-17</t>
        </is>
      </c>
      <c r="B20" s="4" t="inlineStr">
        <is>
          <t>- Transverse -</t>
        </is>
      </c>
      <c r="C20" s="4" t="inlineStr"/>
      <c r="D20" s="4" t="inlineStr">
        <is>
          <t>RFI/RFP</t>
        </is>
      </c>
      <c r="E20" s="4" t="inlineStr">
        <is>
          <t>Éthique, biais et non-discrimination</t>
        </is>
      </c>
      <c r="F20" s="8" t="n"/>
      <c r="G20" s="9">
        <f>IF(F20="Oui",COUNTIF(F$4:F20,"Oui"),"")</f>
        <v/>
      </c>
    </row>
    <row r="21">
      <c r="A21" s="2" t="inlineStr">
        <is>
          <t>COM-E-01</t>
        </is>
      </c>
      <c r="B21" s="4" t="inlineStr">
        <is>
          <t>- Transverse -</t>
        </is>
      </c>
      <c r="C21" s="4" t="inlineStr"/>
      <c r="D21" s="4" t="inlineStr">
        <is>
          <t>CCAP &amp; CCTP</t>
        </is>
      </c>
      <c r="E21" s="4" t="inlineStr">
        <is>
          <t>Le TITULAIRE doit avoir une démarche RSE</t>
        </is>
      </c>
      <c r="F21" s="8" t="n"/>
      <c r="G21" s="9">
        <f>IF(F21="Oui",COUNTIF(F$4:F21,"Oui"),"")</f>
        <v/>
      </c>
    </row>
    <row r="22">
      <c r="A22" s="2" t="inlineStr">
        <is>
          <t>COM-E-02</t>
        </is>
      </c>
      <c r="B22" s="4" t="inlineStr">
        <is>
          <t>- Transverse -</t>
        </is>
      </c>
      <c r="C22" s="4" t="inlineStr"/>
      <c r="D22" s="4" t="inlineStr">
        <is>
          <t>CCAP &amp; CCTP</t>
        </is>
      </c>
      <c r="E22" s="4" t="inlineStr">
        <is>
          <t>Clause de formation au Numérique Responsable</t>
        </is>
      </c>
      <c r="F22" s="8" t="n"/>
      <c r="G22" s="9">
        <f>IF(F22="Oui",COUNTIF(F$4:F22,"Oui"),"")</f>
        <v/>
      </c>
    </row>
    <row r="23">
      <c r="A23" s="2" t="inlineStr">
        <is>
          <t>COM-E-03</t>
        </is>
      </c>
      <c r="B23" s="4" t="inlineStr">
        <is>
          <t>- Transverse -</t>
        </is>
      </c>
      <c r="C23" s="4" t="inlineStr"/>
      <c r="D23" s="4" t="inlineStr">
        <is>
          <t>CCAP &amp; CCTP</t>
        </is>
      </c>
      <c r="E23" s="4" t="inlineStr">
        <is>
          <t>Le TITULAIRE doit mesurer l’empreinte carbone de la prestation effectuée et s’engager à la minimiser</t>
        </is>
      </c>
      <c r="F23" s="8" t="n"/>
      <c r="G23" s="9">
        <f>IF(F23="Oui",COUNTIF(F$4:F23,"Oui"),"")</f>
        <v/>
      </c>
    </row>
    <row r="24">
      <c r="A24" s="2" t="inlineStr">
        <is>
          <t>COM-E-04</t>
        </is>
      </c>
      <c r="B24" s="4" t="inlineStr">
        <is>
          <t>- Transverse -</t>
        </is>
      </c>
      <c r="C24" s="4" t="inlineStr"/>
      <c r="D24" s="4" t="inlineStr">
        <is>
          <t>CCAP &amp; CCTP</t>
        </is>
      </c>
      <c r="E24" s="4" t="inlineStr">
        <is>
          <t>Garantie de non-accès tiers</t>
        </is>
      </c>
      <c r="F24" s="8" t="n"/>
      <c r="G24" s="9">
        <f>IF(F24="Oui",COUNTIF(F$4:F24,"Oui"),"")</f>
        <v/>
      </c>
    </row>
    <row r="25">
      <c r="A25" s="2" t="inlineStr">
        <is>
          <t>COM-E-05</t>
        </is>
      </c>
      <c r="B25" s="4" t="inlineStr">
        <is>
          <t>- Transverse -</t>
        </is>
      </c>
      <c r="C25" s="4" t="inlineStr"/>
      <c r="D25" s="4" t="inlineStr">
        <is>
          <t>CCAP &amp; CCTP</t>
        </is>
      </c>
      <c r="E25" s="4" t="inlineStr">
        <is>
          <t>Trajectoire de résilience</t>
        </is>
      </c>
      <c r="F25" s="8" t="n"/>
      <c r="G25" s="9">
        <f>IF(F25="Oui",COUNTIF(F$4:F25,"Oui"),"")</f>
        <v/>
      </c>
    </row>
    <row r="26">
      <c r="A26" s="2" t="inlineStr">
        <is>
          <t>COM-E-06</t>
        </is>
      </c>
      <c r="B26" s="4" t="inlineStr">
        <is>
          <t>- Transverse -</t>
        </is>
      </c>
      <c r="C26" s="4" t="inlineStr"/>
      <c r="D26" s="4" t="inlineStr">
        <is>
          <t>CCAP &amp; CCTP</t>
        </is>
      </c>
      <c r="E26" s="4" t="inlineStr">
        <is>
          <t>Cartographie des flux</t>
        </is>
      </c>
      <c r="F26" s="8" t="n"/>
      <c r="G26" s="9">
        <f>IF(F26="Oui",COUNTIF(F$4:F26,"Oui"),"")</f>
        <v/>
      </c>
    </row>
    <row r="27">
      <c r="A27" s="2" t="inlineStr">
        <is>
          <t>COM-E-07</t>
        </is>
      </c>
      <c r="B27" s="4" t="inlineStr">
        <is>
          <t>- Transverse -</t>
        </is>
      </c>
      <c r="C27" s="4" t="inlineStr"/>
      <c r="D27" s="4" t="inlineStr">
        <is>
          <t>CCAP &amp; CCTP</t>
        </is>
      </c>
      <c r="E27" s="4" t="inlineStr">
        <is>
          <t>Clause de responsabilité sociale et éthique de l'IA</t>
        </is>
      </c>
      <c r="F27" s="8" t="n"/>
      <c r="G27" s="9">
        <f>IF(F27="Oui",COUNTIF(F$4:F27,"Oui"),"")</f>
        <v/>
      </c>
    </row>
    <row r="28">
      <c r="A28" s="2" t="inlineStr">
        <is>
          <t>COM-E-08</t>
        </is>
      </c>
      <c r="B28" s="4" t="inlineStr">
        <is>
          <t>- Transverse -</t>
        </is>
      </c>
      <c r="C28" s="4" t="inlineStr"/>
      <c r="D28" s="4" t="inlineStr">
        <is>
          <t>CCAP &amp; CCTP</t>
        </is>
      </c>
      <c r="E28" s="4" t="inlineStr">
        <is>
          <t>Maintien de la Frugalité</t>
        </is>
      </c>
      <c r="F28" s="8" t="n"/>
      <c r="G28" s="9">
        <f>IF(F28="Oui",COUNTIF(F$4:F28,"Oui"),"")</f>
        <v/>
      </c>
    </row>
    <row r="29">
      <c r="A29" s="2" t="inlineStr">
        <is>
          <t>COM-E-09</t>
        </is>
      </c>
      <c r="B29" s="4" t="inlineStr">
        <is>
          <t>- Transverse -</t>
        </is>
      </c>
      <c r="C29" s="4" t="inlineStr"/>
      <c r="D29" s="4" t="inlineStr">
        <is>
          <t>CCAP &amp; CCTP</t>
        </is>
      </c>
      <c r="E29" s="4" t="inlineStr">
        <is>
          <t>Stockage responsable</t>
        </is>
      </c>
      <c r="F29" s="8" t="n"/>
      <c r="G29" s="9">
        <f>IF(F29="Oui",COUNTIF(F$4:F29,"Oui"),"")</f>
        <v/>
      </c>
    </row>
    <row r="30">
      <c r="A30" s="2" t="inlineStr">
        <is>
          <t>COM-E-10</t>
        </is>
      </c>
      <c r="B30" s="4" t="inlineStr">
        <is>
          <t>- Transverse -</t>
        </is>
      </c>
      <c r="C30" s="4" t="inlineStr"/>
      <c r="D30" s="4" t="inlineStr">
        <is>
          <t>CCAP &amp; CCTP</t>
        </is>
      </c>
      <c r="E30" s="4" t="inlineStr">
        <is>
          <t>Pilotage de la Localisation</t>
        </is>
      </c>
      <c r="F30" s="8" t="n"/>
      <c r="G30" s="9">
        <f>IF(F30="Oui",COUNTIF(F$4:F30,"Oui"),"")</f>
        <v/>
      </c>
    </row>
    <row r="31">
      <c r="A31" s="2" t="inlineStr">
        <is>
          <t>MAT-Q-01</t>
        </is>
      </c>
      <c r="B31" s="4" t="inlineStr">
        <is>
          <t>Matériels</t>
        </is>
      </c>
      <c r="C31" s="4" t="inlineStr">
        <is>
          <t>Bureautiques</t>
        </is>
      </c>
      <c r="D31" s="4" t="inlineStr">
        <is>
          <t>RFI/RFP</t>
        </is>
      </c>
      <c r="E31" s="4" t="inlineStr">
        <is>
          <t>Écolabels/certification de produits — Ordinateurs</t>
        </is>
      </c>
      <c r="F31" s="8" t="n"/>
      <c r="G31" s="9">
        <f>IF(F31="Oui",COUNTIF(F$4:F31,"Oui"),"")</f>
        <v/>
      </c>
    </row>
    <row r="32">
      <c r="A32" s="2" t="inlineStr">
        <is>
          <t>MAT-Q-02</t>
        </is>
      </c>
      <c r="B32" s="4" t="inlineStr">
        <is>
          <t>Matériels</t>
        </is>
      </c>
      <c r="C32" s="4" t="inlineStr">
        <is>
          <t>Bureautiques</t>
        </is>
      </c>
      <c r="D32" s="4" t="inlineStr">
        <is>
          <t>RFI/RFP</t>
        </is>
      </c>
      <c r="E32" s="4" t="inlineStr">
        <is>
          <t>Écolabels/certification de produits — Écran</t>
        </is>
      </c>
      <c r="F32" s="8" t="n"/>
      <c r="G32" s="9">
        <f>IF(F32="Oui",COUNTIF(F$4:F32,"Oui"),"")</f>
        <v/>
      </c>
    </row>
    <row r="33">
      <c r="A33" s="2" t="inlineStr">
        <is>
          <t>MAT-Q-03</t>
        </is>
      </c>
      <c r="B33" s="4" t="inlineStr">
        <is>
          <t>Matériels</t>
        </is>
      </c>
      <c r="C33" s="4" t="inlineStr">
        <is>
          <t>Bureautiques</t>
        </is>
      </c>
      <c r="D33" s="4" t="inlineStr">
        <is>
          <t>RFI/RFP</t>
        </is>
      </c>
      <c r="E33" s="4" t="inlineStr">
        <is>
          <t>Écolabels/certification de produits — Imprimantes / Imprimantes Multifonctions</t>
        </is>
      </c>
      <c r="F33" s="8" t="n"/>
      <c r="G33" s="9">
        <f>IF(F33="Oui",COUNTIF(F$4:F33,"Oui"),"")</f>
        <v/>
      </c>
    </row>
    <row r="34">
      <c r="A34" s="2" t="inlineStr">
        <is>
          <t>MAT-Q-04</t>
        </is>
      </c>
      <c r="B34" s="4" t="inlineStr">
        <is>
          <t>Matériels</t>
        </is>
      </c>
      <c r="C34" s="4" t="inlineStr">
        <is>
          <t>Bureautiques</t>
        </is>
      </c>
      <c r="D34" s="4" t="inlineStr">
        <is>
          <t>RFI/RFP</t>
        </is>
      </c>
      <c r="E34" s="4" t="inlineStr">
        <is>
          <t>Écolabels/certification de produits — Smartphones / Tablettes</t>
        </is>
      </c>
      <c r="F34" s="8" t="n"/>
      <c r="G34" s="9">
        <f>IF(F34="Oui",COUNTIF(F$4:F34,"Oui"),"")</f>
        <v/>
      </c>
    </row>
    <row r="35">
      <c r="A35" s="2" t="inlineStr">
        <is>
          <t>MAT-Q-05</t>
        </is>
      </c>
      <c r="B35" s="4" t="inlineStr">
        <is>
          <t>Matériels</t>
        </is>
      </c>
      <c r="C35" s="4" t="inlineStr">
        <is>
          <t>Data centers</t>
        </is>
      </c>
      <c r="D35" s="4" t="inlineStr">
        <is>
          <t>RFI/RFP</t>
        </is>
      </c>
      <c r="E35" s="4" t="inlineStr">
        <is>
          <t>Écolabels/certification de produits</t>
        </is>
      </c>
      <c r="F35" s="8" t="n"/>
      <c r="G35" s="9">
        <f>IF(F35="Oui",COUNTIF(F$4:F35,"Oui"),"")</f>
        <v/>
      </c>
    </row>
    <row r="36">
      <c r="A36" s="2" t="inlineStr">
        <is>
          <t>MAT-Q-06</t>
        </is>
      </c>
      <c r="B36" s="4" t="inlineStr">
        <is>
          <t>Matériels</t>
        </is>
      </c>
      <c r="C36" s="4" t="inlineStr">
        <is>
          <t>Data centers</t>
        </is>
      </c>
      <c r="D36" s="4" t="inlineStr">
        <is>
          <t>RFI/RFP</t>
        </is>
      </c>
      <c r="E36" s="4" t="inlineStr">
        <is>
          <t>Écolabels/certification de produits — Alimentation électrique</t>
        </is>
      </c>
      <c r="F36" s="8" t="n"/>
      <c r="G36" s="9">
        <f>IF(F36="Oui",COUNTIF(F$4:F36,"Oui"),"")</f>
        <v/>
      </c>
    </row>
    <row r="37">
      <c r="A37" s="2" t="inlineStr">
        <is>
          <t>MAT-Q-07</t>
        </is>
      </c>
      <c r="B37" s="4" t="inlineStr">
        <is>
          <t>Matériels</t>
        </is>
      </c>
      <c r="C37" s="4" t="inlineStr">
        <is>
          <t>Data centers</t>
        </is>
      </c>
      <c r="D37" s="4" t="inlineStr">
        <is>
          <t>RFI/RFP</t>
        </is>
      </c>
      <c r="E37" s="4" t="inlineStr">
        <is>
          <t>Performance énergétique - Efficacité énergétique</t>
        </is>
      </c>
      <c r="F37" s="8" t="n"/>
      <c r="G37" s="9">
        <f>IF(F37="Oui",COUNTIF(F$4:F37,"Oui"),"")</f>
        <v/>
      </c>
    </row>
    <row r="38">
      <c r="A38" s="2" t="inlineStr">
        <is>
          <t>MAT-Q-08</t>
        </is>
      </c>
      <c r="B38" s="4" t="inlineStr">
        <is>
          <t>Matériels</t>
        </is>
      </c>
      <c r="C38" s="4" t="inlineStr">
        <is>
          <t>- Transverse -</t>
        </is>
      </c>
      <c r="D38" s="4" t="inlineStr">
        <is>
          <t>RFI/RFP</t>
        </is>
      </c>
      <c r="E38" s="4" t="inlineStr">
        <is>
          <t>Logistique Durable</t>
        </is>
      </c>
      <c r="F38" s="8" t="n"/>
      <c r="G38" s="9">
        <f>IF(F38="Oui",COUNTIF(F$4:F38,"Oui"),"")</f>
        <v/>
      </c>
    </row>
    <row r="39">
      <c r="A39" s="2" t="inlineStr">
        <is>
          <t>MAT-Q-09</t>
        </is>
      </c>
      <c r="B39" s="4" t="inlineStr">
        <is>
          <t>Matériels</t>
        </is>
      </c>
      <c r="C39" s="4" t="inlineStr">
        <is>
          <t>- Transverse -</t>
        </is>
      </c>
      <c r="D39" s="4" t="inlineStr">
        <is>
          <t>RFI/RFP</t>
        </is>
      </c>
      <c r="E39" s="4" t="inlineStr">
        <is>
          <t>MCO &amp; Réparabilité — Durée de la MCO</t>
        </is>
      </c>
      <c r="F39" s="8" t="n"/>
      <c r="G39" s="9">
        <f>IF(F39="Oui",COUNTIF(F$4:F39,"Oui"),"")</f>
        <v/>
      </c>
    </row>
    <row r="40">
      <c r="A40" s="2" t="inlineStr">
        <is>
          <t>MAT-Q-10</t>
        </is>
      </c>
      <c r="B40" s="4" t="inlineStr">
        <is>
          <t>Matériels</t>
        </is>
      </c>
      <c r="C40" s="4" t="inlineStr">
        <is>
          <t>Bureautiques</t>
        </is>
      </c>
      <c r="D40" s="4" t="inlineStr">
        <is>
          <t>RFI/RFP</t>
        </is>
      </c>
      <c r="E40" s="4" t="inlineStr">
        <is>
          <t>MCO &amp; Réparabilité — Indice de Réparabilité</t>
        </is>
      </c>
      <c r="F40" s="8" t="n"/>
      <c r="G40" s="9">
        <f>IF(F40="Oui",COUNTIF(F$4:F40,"Oui"),"")</f>
        <v/>
      </c>
    </row>
    <row r="41">
      <c r="A41" s="2" t="inlineStr">
        <is>
          <t>MAT-Q-11</t>
        </is>
      </c>
      <c r="B41" s="4" t="inlineStr">
        <is>
          <t>Matériels</t>
        </is>
      </c>
      <c r="C41" s="4" t="inlineStr">
        <is>
          <t>- Transverse -</t>
        </is>
      </c>
      <c r="D41" s="4" t="inlineStr">
        <is>
          <t>RFI/RFP</t>
        </is>
      </c>
      <c r="E41" s="4" t="inlineStr">
        <is>
          <t>Économie circulaire</t>
        </is>
      </c>
      <c r="F41" s="8" t="n"/>
      <c r="G41" s="9">
        <f>IF(F41="Oui",COUNTIF(F$4:F41,"Oui"),"")</f>
        <v/>
      </c>
    </row>
    <row r="42">
      <c r="A42" s="2" t="inlineStr">
        <is>
          <t>MAT-Q-12</t>
        </is>
      </c>
      <c r="B42" s="4" t="inlineStr">
        <is>
          <t>Matériels</t>
        </is>
      </c>
      <c r="C42" s="4" t="inlineStr">
        <is>
          <t>- Transverse -</t>
        </is>
      </c>
      <c r="D42" s="4" t="inlineStr">
        <is>
          <t>RFI/RFP</t>
        </is>
      </c>
      <c r="E42" s="4" t="inlineStr">
        <is>
          <t>Emballages écoconçu</t>
        </is>
      </c>
      <c r="F42" s="8" t="n"/>
      <c r="G42" s="9">
        <f>IF(F42="Oui",COUNTIF(F$4:F42,"Oui"),"")</f>
        <v/>
      </c>
    </row>
    <row r="43">
      <c r="A43" s="2" t="inlineStr">
        <is>
          <t>MAT-Q-13</t>
        </is>
      </c>
      <c r="B43" s="4" t="inlineStr">
        <is>
          <t>Matériels</t>
        </is>
      </c>
      <c r="C43" s="4" t="inlineStr">
        <is>
          <t>- Transverse -</t>
        </is>
      </c>
      <c r="D43" s="4" t="inlineStr">
        <is>
          <t>RFI/RFP</t>
        </is>
      </c>
      <c r="E43" s="4" t="inlineStr">
        <is>
          <t>Conformité Santé (RoHS/REACH)</t>
        </is>
      </c>
      <c r="F43" s="8" t="n"/>
      <c r="G43" s="9">
        <f>IF(F43="Oui",COUNTIF(F$4:F43,"Oui"),"")</f>
        <v/>
      </c>
    </row>
    <row r="44">
      <c r="A44" s="2" t="inlineStr">
        <is>
          <t>MAT-Q-14</t>
        </is>
      </c>
      <c r="B44" s="4" t="inlineStr">
        <is>
          <t>Matériels</t>
        </is>
      </c>
      <c r="C44" s="4" t="inlineStr">
        <is>
          <t>Bureautiques</t>
        </is>
      </c>
      <c r="D44" s="4" t="inlineStr">
        <is>
          <t>RFI/RFP</t>
        </is>
      </c>
      <c r="E44" s="4" t="inlineStr">
        <is>
          <t>Santé (Ondes/DAS)</t>
        </is>
      </c>
      <c r="F44" s="8" t="n"/>
      <c r="G44" s="9">
        <f>IF(F44="Oui",COUNTIF(F$4:F44,"Oui"),"")</f>
        <v/>
      </c>
    </row>
    <row r="45">
      <c r="A45" s="2" t="inlineStr">
        <is>
          <t>MAT-Q-15</t>
        </is>
      </c>
      <c r="B45" s="4" t="inlineStr">
        <is>
          <t>Matériels</t>
        </is>
      </c>
      <c r="C45" s="4" t="inlineStr">
        <is>
          <t>- Transverse -</t>
        </is>
      </c>
      <c r="D45" s="4" t="inlineStr">
        <is>
          <t>RFI/RFP</t>
        </is>
      </c>
      <c r="E45" s="4" t="inlineStr">
        <is>
          <t>Inclusion (Logiciel)</t>
        </is>
      </c>
      <c r="F45" s="8" t="n"/>
      <c r="G45" s="9">
        <f>IF(F45="Oui",COUNTIF(F$4:F45,"Oui"),"")</f>
        <v/>
      </c>
    </row>
    <row r="46">
      <c r="A46" s="2" t="inlineStr">
        <is>
          <t>MAT-Q-16</t>
        </is>
      </c>
      <c r="B46" s="4" t="inlineStr">
        <is>
          <t>Matériels</t>
        </is>
      </c>
      <c r="C46" s="4" t="inlineStr">
        <is>
          <t>Bureautiques</t>
        </is>
      </c>
      <c r="D46" s="4" t="inlineStr">
        <is>
          <t>RFI/RFP</t>
        </is>
      </c>
      <c r="E46" s="4" t="inlineStr">
        <is>
          <t>Accessibilité (imprimantes multifonctions)</t>
        </is>
      </c>
      <c r="F46" s="8" t="n"/>
      <c r="G46" s="9">
        <f>IF(F46="Oui",COUNTIF(F$4:F46,"Oui"),"")</f>
        <v/>
      </c>
    </row>
    <row r="47">
      <c r="A47" s="2" t="inlineStr">
        <is>
          <t>MAT-Q-17</t>
        </is>
      </c>
      <c r="B47" s="4" t="inlineStr">
        <is>
          <t>Matériels</t>
        </is>
      </c>
      <c r="C47" s="4" t="inlineStr">
        <is>
          <t>- Transverse -</t>
        </is>
      </c>
      <c r="D47" s="4" t="inlineStr">
        <is>
          <t>RFI/RFP</t>
        </is>
      </c>
      <c r="E47" s="4" t="inlineStr">
        <is>
          <t>Impact Social (ESS)</t>
        </is>
      </c>
      <c r="F47" s="8" t="n"/>
      <c r="G47" s="9">
        <f>IF(F47="Oui",COUNTIF(F$4:F47,"Oui"),"")</f>
        <v/>
      </c>
    </row>
    <row r="48">
      <c r="A48" s="2" t="inlineStr">
        <is>
          <t>MAT-E-01</t>
        </is>
      </c>
      <c r="B48" s="4" t="inlineStr">
        <is>
          <t>Matériels</t>
        </is>
      </c>
      <c r="C48" s="4" t="inlineStr">
        <is>
          <t>Bureautiques</t>
        </is>
      </c>
      <c r="D48" s="4" t="inlineStr">
        <is>
          <t>CCAP &amp; CCTP</t>
        </is>
      </c>
      <c r="E48" s="4" t="inlineStr">
        <is>
          <t>Écoconception &amp; Labels</t>
        </is>
      </c>
      <c r="F48" s="8" t="n"/>
      <c r="G48" s="9">
        <f>IF(F48="Oui",COUNTIF(F$4:F48,"Oui"),"")</f>
        <v/>
      </c>
    </row>
    <row r="49">
      <c r="A49" s="2" t="inlineStr">
        <is>
          <t>MAT-E-02</t>
        </is>
      </c>
      <c r="B49" s="4" t="inlineStr">
        <is>
          <t>Matériels</t>
        </is>
      </c>
      <c r="C49" s="4" t="inlineStr">
        <is>
          <t>- Transverse -</t>
        </is>
      </c>
      <c r="D49" s="4" t="inlineStr">
        <is>
          <t>CCAP &amp; CCTP</t>
        </is>
      </c>
      <c r="E49" s="4" t="inlineStr">
        <is>
          <t>Bilan Carbone (ACV)</t>
        </is>
      </c>
      <c r="F49" s="8" t="n"/>
      <c r="G49" s="9">
        <f>IF(F49="Oui",COUNTIF(F$4:F49,"Oui"),"")</f>
        <v/>
      </c>
    </row>
    <row r="50">
      <c r="A50" s="2" t="inlineStr">
        <is>
          <t>MAT-E-03</t>
        </is>
      </c>
      <c r="B50" s="4" t="inlineStr">
        <is>
          <t>Matériels</t>
        </is>
      </c>
      <c r="C50" s="4" t="inlineStr">
        <is>
          <t>Data centers</t>
        </is>
      </c>
      <c r="D50" s="4" t="inlineStr">
        <is>
          <t>CCAP &amp; CCTP</t>
        </is>
      </c>
      <c r="E50" s="4" t="inlineStr">
        <is>
          <t>Performance Énergétique</t>
        </is>
      </c>
      <c r="F50" s="8" t="n"/>
      <c r="G50" s="9">
        <f>IF(F50="Oui",COUNTIF(F$4:F50,"Oui"),"")</f>
        <v/>
      </c>
    </row>
    <row r="51">
      <c r="A51" s="2" t="inlineStr">
        <is>
          <t>MAT-E-04</t>
        </is>
      </c>
      <c r="B51" s="4" t="inlineStr">
        <is>
          <t>Matériels</t>
        </is>
      </c>
      <c r="C51" s="4" t="inlineStr">
        <is>
          <t>Bureautiques</t>
        </is>
      </c>
      <c r="D51" s="4" t="inlineStr">
        <is>
          <t>CCAP &amp; CCTP</t>
        </is>
      </c>
      <c r="E51" s="4" t="inlineStr">
        <is>
          <t>Indice de Réparabilité</t>
        </is>
      </c>
      <c r="F51" s="8" t="n"/>
      <c r="G51" s="9">
        <f>IF(F51="Oui",COUNTIF(F$4:F51,"Oui"),"")</f>
        <v/>
      </c>
    </row>
    <row r="52">
      <c r="A52" s="2" t="inlineStr">
        <is>
          <t>MAT-E-05</t>
        </is>
      </c>
      <c r="B52" s="4" t="inlineStr">
        <is>
          <t>Matériels</t>
        </is>
      </c>
      <c r="C52" s="4" t="inlineStr">
        <is>
          <t>- Transverse -</t>
        </is>
      </c>
      <c r="D52" s="4" t="inlineStr">
        <is>
          <t>CCAP &amp; CCTP</t>
        </is>
      </c>
      <c r="E52" s="4" t="inlineStr">
        <is>
          <t>Fin de vie &amp; Réemploi</t>
        </is>
      </c>
      <c r="F52" s="8" t="n"/>
      <c r="G52" s="9">
        <f>IF(F52="Oui",COUNTIF(F$4:F52,"Oui"),"")</f>
        <v/>
      </c>
    </row>
    <row r="53">
      <c r="A53" s="2" t="inlineStr">
        <is>
          <t>MAT-E-06</t>
        </is>
      </c>
      <c r="B53" s="4" t="inlineStr">
        <is>
          <t>Matériels</t>
        </is>
      </c>
      <c r="C53" s="4" t="inlineStr">
        <is>
          <t>- Transverse -</t>
        </is>
      </c>
      <c r="D53" s="4" t="inlineStr">
        <is>
          <t>CCAP &amp; CCTP</t>
        </is>
      </c>
      <c r="E53" s="4" t="inlineStr">
        <is>
          <t>Substances Dangereuses (REACH/RoHS)</t>
        </is>
      </c>
      <c r="F53" s="8" t="n"/>
      <c r="G53" s="9">
        <f>IF(F53="Oui",COUNTIF(F$4:F53,"Oui"),"")</f>
        <v/>
      </c>
    </row>
    <row r="54">
      <c r="A54" s="2" t="inlineStr">
        <is>
          <t>MAT-E-07</t>
        </is>
      </c>
      <c r="B54" s="4" t="inlineStr">
        <is>
          <t>Matériels</t>
        </is>
      </c>
      <c r="C54" s="4" t="inlineStr">
        <is>
          <t>- Transverse -</t>
        </is>
      </c>
      <c r="D54" s="4" t="inlineStr">
        <is>
          <t>CCAP &amp; CCTP</t>
        </is>
      </c>
      <c r="E54" s="4" t="inlineStr">
        <is>
          <t>Seconde vie (Réemploi)</t>
        </is>
      </c>
      <c r="F54" s="8" t="n"/>
      <c r="G54" s="9">
        <f>IF(F54="Oui",COUNTIF(F$4:F54,"Oui"),"")</f>
        <v/>
      </c>
    </row>
    <row r="55">
      <c r="A55" s="2" t="inlineStr">
        <is>
          <t>CLD-Q-01</t>
        </is>
      </c>
      <c r="B55" s="4" t="inlineStr">
        <is>
          <t>Services cloud</t>
        </is>
      </c>
      <c r="C55" s="4" t="inlineStr"/>
      <c r="D55" s="4" t="inlineStr">
        <is>
          <t>RFI/RFP</t>
        </is>
      </c>
      <c r="E55" s="4" t="inlineStr">
        <is>
          <t>PUE</t>
        </is>
      </c>
      <c r="F55" s="8" t="n"/>
      <c r="G55" s="9">
        <f>IF(F55="Oui",COUNTIF(F$4:F55,"Oui"),"")</f>
        <v/>
      </c>
    </row>
    <row r="56">
      <c r="A56" s="2" t="inlineStr">
        <is>
          <t>CLD-Q-02</t>
        </is>
      </c>
      <c r="B56" s="4" t="inlineStr">
        <is>
          <t>Services cloud</t>
        </is>
      </c>
      <c r="C56" s="4" t="inlineStr"/>
      <c r="D56" s="4" t="inlineStr">
        <is>
          <t>RFI/RFP</t>
        </is>
      </c>
      <c r="E56" s="4" t="inlineStr">
        <is>
          <t>WUE</t>
        </is>
      </c>
      <c r="F56" s="8" t="n"/>
      <c r="G56" s="9">
        <f>IF(F56="Oui",COUNTIF(F$4:F56,"Oui"),"")</f>
        <v/>
      </c>
    </row>
    <row r="57">
      <c r="A57" s="2" t="inlineStr">
        <is>
          <t>CLD-Q-03</t>
        </is>
      </c>
      <c r="B57" s="4" t="inlineStr">
        <is>
          <t>Services cloud</t>
        </is>
      </c>
      <c r="C57" s="4" t="inlineStr"/>
      <c r="D57" s="4" t="inlineStr">
        <is>
          <t>RFI/RFP</t>
        </is>
      </c>
      <c r="E57" s="4" t="inlineStr">
        <is>
          <t>CUE</t>
        </is>
      </c>
      <c r="F57" s="8" t="n"/>
      <c r="G57" s="9">
        <f>IF(F57="Oui",COUNTIF(F$4:F57,"Oui"),"")</f>
        <v/>
      </c>
    </row>
    <row r="58">
      <c r="A58" s="2" t="inlineStr">
        <is>
          <t>CLD-Q-04</t>
        </is>
      </c>
      <c r="B58" s="4" t="inlineStr">
        <is>
          <t>Services cloud</t>
        </is>
      </c>
      <c r="C58" s="4" t="inlineStr"/>
      <c r="D58" s="4" t="inlineStr">
        <is>
          <t>RFI/RFP</t>
        </is>
      </c>
      <c r="E58" s="4" t="inlineStr">
        <is>
          <t>Transparence &amp; Souveraineté</t>
        </is>
      </c>
      <c r="F58" s="8" t="n"/>
      <c r="G58" s="9">
        <f>IF(F58="Oui",COUNTIF(F$4:F58,"Oui"),"")</f>
        <v/>
      </c>
    </row>
    <row r="59">
      <c r="A59" s="2" t="inlineStr">
        <is>
          <t>CLD-Q-05</t>
        </is>
      </c>
      <c r="B59" s="4" t="inlineStr">
        <is>
          <t>Services cloud</t>
        </is>
      </c>
      <c r="C59" s="4" t="inlineStr"/>
      <c r="D59" s="4" t="inlineStr">
        <is>
          <t>RFI/RFP</t>
        </is>
      </c>
      <c r="E59" s="4" t="inlineStr">
        <is>
          <t>Impact Social &amp; Économie Circulaire</t>
        </is>
      </c>
      <c r="F59" s="8" t="n"/>
      <c r="G59" s="9">
        <f>IF(F59="Oui",COUNTIF(F$4:F59,"Oui"),"")</f>
        <v/>
      </c>
    </row>
    <row r="60">
      <c r="A60" s="2" t="inlineStr">
        <is>
          <t>CLD-Q-06</t>
        </is>
      </c>
      <c r="B60" s="4" t="inlineStr">
        <is>
          <t>Services cloud</t>
        </is>
      </c>
      <c r="C60" s="4" t="inlineStr"/>
      <c r="D60" s="4" t="inlineStr">
        <is>
          <t>RFI/RFP</t>
        </is>
      </c>
      <c r="E60" s="4" t="inlineStr">
        <is>
          <t>Réversibilité</t>
        </is>
      </c>
      <c r="F60" s="8" t="n"/>
      <c r="G60" s="9">
        <f>IF(F60="Oui",COUNTIF(F$4:F60,"Oui"),"")</f>
        <v/>
      </c>
    </row>
    <row r="61">
      <c r="A61" s="2" t="inlineStr">
        <is>
          <t>CLD-Q-07</t>
        </is>
      </c>
      <c r="B61" s="4" t="inlineStr">
        <is>
          <t>Services cloud</t>
        </is>
      </c>
      <c r="C61" s="4" t="inlineStr"/>
      <c r="D61" s="4" t="inlineStr">
        <is>
          <t>RFI/RFP</t>
        </is>
      </c>
      <c r="E61" s="4" t="inlineStr">
        <is>
          <t>Souveraineté du Support</t>
        </is>
      </c>
      <c r="F61" s="8" t="n"/>
      <c r="G61" s="9">
        <f>IF(F61="Oui",COUNTIF(F$4:F61,"Oui"),"")</f>
        <v/>
      </c>
    </row>
    <row r="62">
      <c r="A62" s="2" t="inlineStr">
        <is>
          <t>CLD-Q-08</t>
        </is>
      </c>
      <c r="B62" s="4" t="inlineStr">
        <is>
          <t>Services cloud</t>
        </is>
      </c>
      <c r="C62" s="4" t="inlineStr"/>
      <c r="D62" s="4" t="inlineStr">
        <is>
          <t>RFI/RFP</t>
        </is>
      </c>
      <c r="E62" s="4" t="inlineStr">
        <is>
          <t>Management de Efficacité énergétique</t>
        </is>
      </c>
      <c r="F62" s="8" t="n"/>
      <c r="G62" s="9">
        <f>IF(F62="Oui",COUNTIF(F$4:F62,"Oui"),"")</f>
        <v/>
      </c>
    </row>
    <row r="63">
      <c r="A63" s="2" t="inlineStr">
        <is>
          <t>CLD-Q-09</t>
        </is>
      </c>
      <c r="B63" s="4" t="inlineStr">
        <is>
          <t>Services cloud</t>
        </is>
      </c>
      <c r="C63" s="4" t="inlineStr"/>
      <c r="D63" s="4" t="inlineStr">
        <is>
          <t>RFI/RFP</t>
        </is>
      </c>
      <c r="E63" s="4" t="inlineStr">
        <is>
          <t>Gestion du cycle de vie</t>
        </is>
      </c>
      <c r="F63" s="8" t="n"/>
      <c r="G63" s="9">
        <f>IF(F63="Oui",COUNTIF(F$4:F63,"Oui"),"")</f>
        <v/>
      </c>
    </row>
    <row r="64">
      <c r="A64" s="2" t="inlineStr">
        <is>
          <t>CLD-Q-10</t>
        </is>
      </c>
      <c r="B64" s="4" t="inlineStr">
        <is>
          <t>Services cloud</t>
        </is>
      </c>
      <c r="C64" s="4" t="inlineStr"/>
      <c r="D64" s="4" t="inlineStr">
        <is>
          <t>RFI/RFP</t>
        </is>
      </c>
      <c r="E64" s="4" t="inlineStr">
        <is>
          <t>Progrès et Innovation</t>
        </is>
      </c>
      <c r="F64" s="8" t="n"/>
      <c r="G64" s="9">
        <f>IF(F64="Oui",COUNTIF(F$4:F64,"Oui"),"")</f>
        <v/>
      </c>
    </row>
    <row r="65">
      <c r="A65" s="2" t="inlineStr">
        <is>
          <t>CLD-Q-11</t>
        </is>
      </c>
      <c r="B65" s="4" t="inlineStr">
        <is>
          <t>Services cloud</t>
        </is>
      </c>
      <c r="C65" s="4" t="inlineStr"/>
      <c r="D65" s="4" t="inlineStr">
        <is>
          <t>RFI/RFP</t>
        </is>
      </c>
      <c r="E65" s="4" t="inlineStr">
        <is>
          <t>Écoconception</t>
        </is>
      </c>
      <c r="F65" s="8" t="n"/>
      <c r="G65" s="9">
        <f>IF(F65="Oui",COUNTIF(F$4:F65,"Oui"),"")</f>
        <v/>
      </c>
    </row>
    <row r="66">
      <c r="A66" s="2" t="inlineStr">
        <is>
          <t>CLD-Q-12</t>
        </is>
      </c>
      <c r="B66" s="4" t="inlineStr">
        <is>
          <t>Services cloud</t>
        </is>
      </c>
      <c r="C66" s="4" t="inlineStr"/>
      <c r="D66" s="4" t="inlineStr">
        <is>
          <t>RFI/RFP</t>
        </is>
      </c>
      <c r="E66" s="4" t="inlineStr">
        <is>
          <t>Cycle de Vie des Données</t>
        </is>
      </c>
      <c r="F66" s="8" t="n"/>
      <c r="G66" s="9">
        <f>IF(F66="Oui",COUNTIF(F$4:F66,"Oui"),"")</f>
        <v/>
      </c>
    </row>
    <row r="67">
      <c r="A67" s="2" t="inlineStr">
        <is>
          <t>CLD-Q-13</t>
        </is>
      </c>
      <c r="B67" s="4" t="inlineStr">
        <is>
          <t>Services cloud</t>
        </is>
      </c>
      <c r="C67" s="4" t="inlineStr"/>
      <c r="D67" s="4" t="inlineStr">
        <is>
          <t>RFI/RFP</t>
        </is>
      </c>
      <c r="E67" s="4" t="inlineStr">
        <is>
          <t>Transparence</t>
        </is>
      </c>
      <c r="F67" s="8" t="n"/>
      <c r="G67" s="9">
        <f>IF(F67="Oui",COUNTIF(F$4:F67,"Oui"),"")</f>
        <v/>
      </c>
    </row>
    <row r="68">
      <c r="A68" s="2" t="inlineStr">
        <is>
          <t>CLD-Q-14</t>
        </is>
      </c>
      <c r="B68" s="4" t="inlineStr">
        <is>
          <t>Services cloud</t>
        </is>
      </c>
      <c r="C68" s="4" t="inlineStr"/>
      <c r="D68" s="4" t="inlineStr">
        <is>
          <t>RFI/RFP</t>
        </is>
      </c>
      <c r="E68" s="4" t="inlineStr">
        <is>
          <t>Accessibilité</t>
        </is>
      </c>
      <c r="F68" s="8" t="n"/>
      <c r="G68" s="9">
        <f>IF(F68="Oui",COUNTIF(F$4:F68,"Oui"),"")</f>
        <v/>
      </c>
    </row>
    <row r="69">
      <c r="A69" s="2" t="inlineStr">
        <is>
          <t>CLD-Q-15</t>
        </is>
      </c>
      <c r="B69" s="4" t="inlineStr">
        <is>
          <t>Services cloud</t>
        </is>
      </c>
      <c r="C69" s="4" t="inlineStr"/>
      <c r="D69" s="4" t="inlineStr">
        <is>
          <t>RFI/RFP</t>
        </is>
      </c>
      <c r="E69" s="4" t="inlineStr">
        <is>
          <t>Droit à la déconnexion</t>
        </is>
      </c>
      <c r="F69" s="8" t="n"/>
      <c r="G69" s="9">
        <f>IF(F69="Oui",COUNTIF(F$4:F69,"Oui"),"")</f>
        <v/>
      </c>
    </row>
    <row r="70">
      <c r="A70" s="2" t="inlineStr">
        <is>
          <t>CLD-E-01</t>
        </is>
      </c>
      <c r="B70" s="4" t="inlineStr">
        <is>
          <t>Services cloud</t>
        </is>
      </c>
      <c r="C70" s="4" t="inlineStr"/>
      <c r="D70" s="4" t="inlineStr">
        <is>
          <t>CCAP &amp; CCTP</t>
        </is>
      </c>
      <c r="E70" s="4" t="inlineStr">
        <is>
          <t>Dashboard de Performance Carbone</t>
        </is>
      </c>
      <c r="F70" s="8" t="n"/>
      <c r="G70" s="9">
        <f>IF(F70="Oui",COUNTIF(F$4:F70,"Oui"),"")</f>
        <v/>
      </c>
    </row>
    <row r="71">
      <c r="A71" s="2" t="inlineStr">
        <is>
          <t>CLD-E-02</t>
        </is>
      </c>
      <c r="B71" s="4" t="inlineStr">
        <is>
          <t>Services cloud</t>
        </is>
      </c>
      <c r="C71" s="4" t="inlineStr"/>
      <c r="D71" s="4" t="inlineStr">
        <is>
          <t>CCAP &amp; CCTP</t>
        </is>
      </c>
      <c r="E71" s="4" t="inlineStr">
        <is>
          <t>Souveraineté et Localisation</t>
        </is>
      </c>
      <c r="F71" s="8" t="n"/>
      <c r="G71" s="9">
        <f>IF(F71="Oui",COUNTIF(F$4:F71,"Oui"),"")</f>
        <v/>
      </c>
    </row>
    <row r="72">
      <c r="A72" s="2" t="inlineStr">
        <is>
          <t>CLD-E-03</t>
        </is>
      </c>
      <c r="B72" s="4" t="inlineStr">
        <is>
          <t>Services cloud</t>
        </is>
      </c>
      <c r="C72" s="4" t="inlineStr"/>
      <c r="D72" s="4" t="inlineStr">
        <is>
          <t>CCAP &amp; CCTP</t>
        </is>
      </c>
      <c r="E72" s="4" t="inlineStr">
        <is>
          <t>Réversibilité et Autonomie</t>
        </is>
      </c>
      <c r="F72" s="8" t="n"/>
      <c r="G72" s="9">
        <f>IF(F72="Oui",COUNTIF(F$4:F72,"Oui"),"")</f>
        <v/>
      </c>
    </row>
    <row r="73">
      <c r="A73" s="2" t="inlineStr">
        <is>
          <t>LOG-Q-01</t>
        </is>
      </c>
      <c r="B73" s="4" t="inlineStr">
        <is>
          <t>Logiciels</t>
        </is>
      </c>
      <c r="C73" s="4" t="inlineStr"/>
      <c r="D73" s="4" t="inlineStr">
        <is>
          <t>RFI/RFP</t>
        </is>
      </c>
      <c r="E73" s="4" t="inlineStr">
        <is>
          <t>Écoconception Logicielle</t>
        </is>
      </c>
      <c r="F73" s="8" t="n"/>
      <c r="G73" s="9">
        <f>IF(F73="Oui",COUNTIF(F$4:F73,"Oui"),"")</f>
        <v/>
      </c>
    </row>
    <row r="74">
      <c r="A74" s="2" t="inlineStr">
        <is>
          <t>LOG-Q-02</t>
        </is>
      </c>
      <c r="B74" s="4" t="inlineStr">
        <is>
          <t>Logiciels</t>
        </is>
      </c>
      <c r="C74" s="4" t="inlineStr"/>
      <c r="D74" s="4" t="inlineStr">
        <is>
          <t>RFI/RFP</t>
        </is>
      </c>
      <c r="E74" s="4" t="inlineStr">
        <is>
          <t>Accessibilité numérique</t>
        </is>
      </c>
      <c r="F74" s="8" t="n"/>
      <c r="G74" s="9">
        <f>IF(F74="Oui",COUNTIF(F$4:F74,"Oui"),"")</f>
        <v/>
      </c>
    </row>
    <row r="75">
      <c r="A75" s="2" t="inlineStr">
        <is>
          <t>LOG-Q-03</t>
        </is>
      </c>
      <c r="B75" s="4" t="inlineStr">
        <is>
          <t>Logiciels</t>
        </is>
      </c>
      <c r="C75" s="4" t="inlineStr"/>
      <c r="D75" s="4" t="inlineStr">
        <is>
          <t>RFI/RFP</t>
        </is>
      </c>
      <c r="E75" s="4" t="inlineStr">
        <is>
          <t>Droit à la déconnexion</t>
        </is>
      </c>
      <c r="F75" s="8" t="n"/>
      <c r="G75" s="9">
        <f>IF(F75="Oui",COUNTIF(F$4:F75,"Oui"),"")</f>
        <v/>
      </c>
    </row>
    <row r="76">
      <c r="A76" s="2" t="inlineStr">
        <is>
          <t>LOG-Q-04</t>
        </is>
      </c>
      <c r="B76" s="4" t="inlineStr">
        <is>
          <t>Logiciels</t>
        </is>
      </c>
      <c r="C76" s="4" t="inlineStr"/>
      <c r="D76" s="4" t="inlineStr">
        <is>
          <t>RFI/RFP</t>
        </is>
      </c>
      <c r="E76" s="4" t="inlineStr">
        <is>
          <t>Obsolescence &amp; Inclusion</t>
        </is>
      </c>
      <c r="F76" s="8" t="n"/>
      <c r="G76" s="9">
        <f>IF(F76="Oui",COUNTIF(F$4:F76,"Oui"),"")</f>
        <v/>
      </c>
    </row>
    <row r="77">
      <c r="A77" s="2" t="inlineStr">
        <is>
          <t>LOG-Q-05</t>
        </is>
      </c>
      <c r="B77" s="4" t="inlineStr">
        <is>
          <t>Logiciels</t>
        </is>
      </c>
      <c r="C77" s="4" t="inlineStr"/>
      <c r="D77" s="4" t="inlineStr">
        <is>
          <t>RFI/RFP</t>
        </is>
      </c>
      <c r="E77" s="4" t="inlineStr">
        <is>
          <t>Gestion des Mises à jour</t>
        </is>
      </c>
      <c r="F77" s="8" t="n"/>
      <c r="G77" s="9">
        <f>IF(F77="Oui",COUNTIF(F$4:F77,"Oui"),"")</f>
        <v/>
      </c>
    </row>
    <row r="78">
      <c r="A78" s="2" t="inlineStr">
        <is>
          <t>LOG-Q-06</t>
        </is>
      </c>
      <c r="B78" s="4" t="inlineStr">
        <is>
          <t>Logiciels</t>
        </is>
      </c>
      <c r="C78" s="4" t="inlineStr"/>
      <c r="D78" s="4" t="inlineStr">
        <is>
          <t>RFI/RFP</t>
        </is>
      </c>
      <c r="E78" s="4" t="inlineStr">
        <is>
          <t>Standards Ouverts &amp; Interopérabilité</t>
        </is>
      </c>
      <c r="F78" s="8" t="n"/>
      <c r="G78" s="9">
        <f>IF(F78="Oui",COUNTIF(F$4:F78,"Oui"),"")</f>
        <v/>
      </c>
    </row>
    <row r="79">
      <c r="A79" s="2" t="inlineStr">
        <is>
          <t>LOG-E-01</t>
        </is>
      </c>
      <c r="B79" s="4" t="inlineStr">
        <is>
          <t>Logiciels</t>
        </is>
      </c>
      <c r="C79" s="4" t="inlineStr"/>
      <c r="D79" s="4" t="inlineStr">
        <is>
          <t>CCAP &amp; CCTP</t>
        </is>
      </c>
      <c r="E79" s="4" t="inlineStr">
        <is>
          <t>Mesure de l'Empreinte Carbone</t>
        </is>
      </c>
      <c r="F79" s="8" t="n"/>
      <c r="G79" s="9">
        <f>IF(F79="Oui",COUNTIF(F$4:F79,"Oui"),"")</f>
        <v/>
      </c>
    </row>
    <row r="80">
      <c r="A80" s="2" t="inlineStr">
        <is>
          <t>LOG-E-02</t>
        </is>
      </c>
      <c r="B80" s="4" t="inlineStr">
        <is>
          <t>Logiciels</t>
        </is>
      </c>
      <c r="C80" s="4" t="inlineStr"/>
      <c r="D80" s="4" t="inlineStr">
        <is>
          <t>CCAP &amp; CCTP</t>
        </is>
      </c>
      <c r="E80" s="4" t="inlineStr">
        <is>
          <t>Stratégie d'écointégration</t>
        </is>
      </c>
      <c r="F80" s="8" t="n"/>
      <c r="G80" s="9">
        <f>IF(F80="Oui",COUNTIF(F$4:F80,"Oui"),"")</f>
        <v/>
      </c>
    </row>
    <row r="81">
      <c r="A81" s="2" t="inlineStr">
        <is>
          <t>LOG-E-03</t>
        </is>
      </c>
      <c r="B81" s="4" t="inlineStr">
        <is>
          <t>Logiciels</t>
        </is>
      </c>
      <c r="C81" s="4" t="inlineStr"/>
      <c r="D81" s="4" t="inlineStr">
        <is>
          <t>CCAP &amp; CCTP</t>
        </is>
      </c>
      <c r="E81" s="4" t="inlineStr">
        <is>
          <t>Lutte contre l'Obsolescence</t>
        </is>
      </c>
      <c r="F81" s="8" t="n"/>
      <c r="G81" s="9">
        <f>IF(F81="Oui",COUNTIF(F$4:F81,"Oui"),"")</f>
        <v/>
      </c>
    </row>
    <row r="82">
      <c r="A82" s="2" t="inlineStr">
        <is>
          <t>LOG-E-04</t>
        </is>
      </c>
      <c r="B82" s="4" t="inlineStr">
        <is>
          <t>Logiciels</t>
        </is>
      </c>
      <c r="C82" s="4" t="inlineStr"/>
      <c r="D82" s="4" t="inlineStr">
        <is>
          <t>CCAP &amp; CCTP</t>
        </is>
      </c>
      <c r="E82" s="4" t="inlineStr">
        <is>
          <t>Accessibilité Numérique</t>
        </is>
      </c>
      <c r="F82" s="8" t="n"/>
      <c r="G82" s="9">
        <f>IF(F82="Oui",COUNTIF(F$4:F82,"Oui"),"")</f>
        <v/>
      </c>
    </row>
    <row r="83">
      <c r="A83" s="2" t="inlineStr">
        <is>
          <t>LOG-E-05</t>
        </is>
      </c>
      <c r="B83" s="4" t="inlineStr">
        <is>
          <t>Logiciels</t>
        </is>
      </c>
      <c r="C83" s="4" t="inlineStr"/>
      <c r="D83" s="4" t="inlineStr">
        <is>
          <t>CCAP &amp; CCTP</t>
        </is>
      </c>
      <c r="E83" s="4" t="inlineStr">
        <is>
          <t>Droit à la Déconnexion</t>
        </is>
      </c>
      <c r="F83" s="8" t="n"/>
      <c r="G83" s="9">
        <f>IF(F83="Oui",COUNTIF(F$4:F83,"Oui"),"")</f>
        <v/>
      </c>
    </row>
    <row r="84">
      <c r="A84" s="2" t="inlineStr">
        <is>
          <t>DEV-Q-01</t>
        </is>
      </c>
      <c r="B84" s="4" t="inlineStr">
        <is>
          <t>Prestations</t>
        </is>
      </c>
      <c r="C84" s="4" t="inlineStr">
        <is>
          <t>Développement / Intégration / TMA logiciels</t>
        </is>
      </c>
      <c r="D84" s="4" t="inlineStr">
        <is>
          <t>RFI/RFP</t>
        </is>
      </c>
      <c r="E84" s="4" t="inlineStr">
        <is>
          <t>Accessibilité Numérique</t>
        </is>
      </c>
      <c r="F84" s="8" t="n"/>
      <c r="G84" s="9">
        <f>IF(F84="Oui",COUNTIF(F$4:F84,"Oui"),"")</f>
        <v/>
      </c>
    </row>
    <row r="85">
      <c r="A85" s="2" t="inlineStr">
        <is>
          <t>DEV-Q-02</t>
        </is>
      </c>
      <c r="B85" s="4" t="inlineStr">
        <is>
          <t>Prestations</t>
        </is>
      </c>
      <c r="C85" s="4" t="inlineStr">
        <is>
          <t>Développement / Intégration / TMA logiciels</t>
        </is>
      </c>
      <c r="D85" s="4" t="inlineStr">
        <is>
          <t>RFI/RFP</t>
        </is>
      </c>
      <c r="E85" s="4" t="inlineStr">
        <is>
          <t>Écoconception — Niveau de formation des prestataires sur la prestation d’écoconception</t>
        </is>
      </c>
      <c r="F85" s="8" t="n"/>
      <c r="G85" s="9">
        <f>IF(F85="Oui",COUNTIF(F$4:F85,"Oui"),"")</f>
        <v/>
      </c>
    </row>
    <row r="86">
      <c r="A86" s="2" t="inlineStr">
        <is>
          <t>DEV-E-01</t>
        </is>
      </c>
      <c r="B86" s="4" t="inlineStr">
        <is>
          <t>Prestations</t>
        </is>
      </c>
      <c r="C86" s="4" t="inlineStr">
        <is>
          <t>Développement / Intégration / TMA logiciels</t>
        </is>
      </c>
      <c r="D86" s="4" t="inlineStr">
        <is>
          <t>CCAP &amp; CCTP</t>
        </is>
      </c>
      <c r="E86" s="4" t="inlineStr">
        <is>
          <t>Le TITULAIRE doit piloter l’écoconception des services numériques</t>
        </is>
      </c>
      <c r="F86" s="8" t="n"/>
      <c r="G86" s="9">
        <f>IF(F86="Oui",COUNTIF(F$4:F86,"Oui"),"")</f>
        <v/>
      </c>
    </row>
    <row r="87">
      <c r="A87" s="2" t="inlineStr">
        <is>
          <t>DEV-E-02</t>
        </is>
      </c>
      <c r="B87" s="4" t="inlineStr">
        <is>
          <t>Prestations</t>
        </is>
      </c>
      <c r="C87" s="4" t="inlineStr">
        <is>
          <t>Développement / Intégration / TMA logiciels</t>
        </is>
      </c>
      <c r="D87" s="4" t="inlineStr">
        <is>
          <t>CCAP &amp; CCTP</t>
        </is>
      </c>
      <c r="E87" s="4" t="inlineStr">
        <is>
          <t>Le TITULAIRE doit garantir la comptabilité du SERVICE sur des matériels anciens</t>
        </is>
      </c>
      <c r="F87" s="8" t="n"/>
      <c r="G87" s="9">
        <f>IF(F87="Oui",COUNTIF(F$4:F87,"Oui"),"")</f>
        <v/>
      </c>
    </row>
    <row r="88">
      <c r="A88" s="2" t="inlineStr">
        <is>
          <t>DEV-E-03</t>
        </is>
      </c>
      <c r="B88" s="4" t="inlineStr">
        <is>
          <t>Prestations</t>
        </is>
      </c>
      <c r="C88" s="4" t="inlineStr">
        <is>
          <t>Développement / Intégration / TMA logiciels</t>
        </is>
      </c>
      <c r="D88" s="4" t="inlineStr">
        <is>
          <t>CCAP &amp; CCTP</t>
        </is>
      </c>
      <c r="E88" s="4" t="inlineStr">
        <is>
          <t>Engagement Social et Inclusion</t>
        </is>
      </c>
      <c r="F88" s="8" t="n"/>
      <c r="G88" s="9">
        <f>IF(F88="Oui",COUNTIF(F$4:F88,"Oui"),"")</f>
        <v/>
      </c>
    </row>
    <row r="89">
      <c r="A89" s="2" t="inlineStr">
        <is>
          <t>DEV-E-04</t>
        </is>
      </c>
      <c r="B89" s="4" t="inlineStr">
        <is>
          <t>Prestations</t>
        </is>
      </c>
      <c r="C89" s="4" t="inlineStr">
        <is>
          <t>Développement / Intégration / TMA logiciels</t>
        </is>
      </c>
      <c r="D89" s="4" t="inlineStr">
        <is>
          <t>CCAP &amp; CCTP</t>
        </is>
      </c>
      <c r="E89" s="4" t="inlineStr">
        <is>
          <t>Accessibilité Numérique</t>
        </is>
      </c>
      <c r="F89" s="8" t="n"/>
      <c r="G89" s="9">
        <f>IF(F89="Oui",COUNTIF(F$4:F89,"Oui"),"")</f>
        <v/>
      </c>
    </row>
    <row r="90">
      <c r="A90" s="2" t="inlineStr">
        <is>
          <t>DEV-E-05</t>
        </is>
      </c>
      <c r="B90" s="4" t="inlineStr">
        <is>
          <t>Prestations</t>
        </is>
      </c>
      <c r="C90" s="4" t="inlineStr">
        <is>
          <t>Développement / Intégration / TMA logiciels</t>
        </is>
      </c>
      <c r="D90" s="4" t="inlineStr">
        <is>
          <t>CCAP &amp; CCTP</t>
        </is>
      </c>
      <c r="E90" s="4" t="inlineStr">
        <is>
          <t>Accessibilité Numérique</t>
        </is>
      </c>
      <c r="F90" s="8" t="n"/>
      <c r="G90" s="9">
        <f>IF(F90="Oui",COUNTIF(F$4:F90,"Oui"),"")</f>
        <v/>
      </c>
    </row>
    <row r="91">
      <c r="A91" s="2" t="inlineStr">
        <is>
          <t>DEV-E-06</t>
        </is>
      </c>
      <c r="B91" s="4" t="inlineStr">
        <is>
          <t>Prestations</t>
        </is>
      </c>
      <c r="C91" s="4" t="inlineStr">
        <is>
          <t>Développement / Intégration / TMA logiciels</t>
        </is>
      </c>
      <c r="D91" s="4" t="inlineStr">
        <is>
          <t>CCAP &amp; CCTP</t>
        </is>
      </c>
      <c r="E91" s="4" t="inlineStr">
        <is>
          <t>Inclusion (compatibilité terminaux anciens / faible connectivité)</t>
        </is>
      </c>
      <c r="F91" s="8" t="n"/>
      <c r="G91" s="9">
        <f>IF(F91="Oui",COUNTIF(F$4:F91,"Oui"),"")</f>
        <v/>
      </c>
    </row>
    <row r="92">
      <c r="A92" s="2" t="inlineStr">
        <is>
          <t>INF-Q-01</t>
        </is>
      </c>
      <c r="B92" s="4" t="inlineStr">
        <is>
          <t>Prestations</t>
        </is>
      </c>
      <c r="C92" s="4" t="inlineStr">
        <is>
          <t>Infogérance bureautique</t>
        </is>
      </c>
      <c r="D92" s="4" t="inlineStr">
        <is>
          <t>RFI/RFP</t>
        </is>
      </c>
      <c r="E92" s="4" t="inlineStr">
        <is>
          <t>Amélioration continue de la prestation fournie</t>
        </is>
      </c>
      <c r="F92" s="8" t="n"/>
      <c r="G92" s="9">
        <f>IF(F92="Oui",COUNTIF(F$4:F92,"Oui"),"")</f>
        <v/>
      </c>
    </row>
    <row r="93">
      <c r="A93" s="2" t="inlineStr">
        <is>
          <t>INF-Q-02</t>
        </is>
      </c>
      <c r="B93" s="4" t="inlineStr">
        <is>
          <t>Prestations</t>
        </is>
      </c>
      <c r="C93" s="4" t="inlineStr">
        <is>
          <t>Infogérance bureautique</t>
        </is>
      </c>
      <c r="D93" s="4" t="inlineStr">
        <is>
          <t>RFI/RFP</t>
        </is>
      </c>
      <c r="E93" s="4" t="inlineStr">
        <is>
          <t>Infogérance à distance — Support utilisateurs</t>
        </is>
      </c>
      <c r="F93" s="8" t="n"/>
      <c r="G93" s="9">
        <f>IF(F93="Oui",COUNTIF(F$4:F93,"Oui"),"")</f>
        <v/>
      </c>
    </row>
    <row r="94">
      <c r="A94" s="2" t="inlineStr">
        <is>
          <t>INF-Q-03</t>
        </is>
      </c>
      <c r="B94" s="4" t="inlineStr">
        <is>
          <t>Prestations</t>
        </is>
      </c>
      <c r="C94" s="4" t="inlineStr">
        <is>
          <t>Infogérance bureautique</t>
        </is>
      </c>
      <c r="D94" s="4" t="inlineStr">
        <is>
          <t>RFI/RFP</t>
        </is>
      </c>
      <c r="E94" s="4" t="inlineStr">
        <is>
          <t>Infogérance à distance — Mises à jour,
patching</t>
        </is>
      </c>
      <c r="F94" s="8" t="n"/>
      <c r="G94" s="9">
        <f>IF(F94="Oui",COUNTIF(F$4:F94,"Oui"),"")</f>
        <v/>
      </c>
    </row>
    <row r="95">
      <c r="A95" s="2" t="inlineStr">
        <is>
          <t>INF-Q-04</t>
        </is>
      </c>
      <c r="B95" s="4" t="inlineStr">
        <is>
          <t>Prestations</t>
        </is>
      </c>
      <c r="C95" s="4" t="inlineStr">
        <is>
          <t>Infogérance bureautique</t>
        </is>
      </c>
      <c r="D95" s="4" t="inlineStr">
        <is>
          <t>RFI/RFP</t>
        </is>
      </c>
      <c r="E95" s="4" t="inlineStr">
        <is>
          <t>Optimisation durable de la Supply Chain</t>
        </is>
      </c>
      <c r="F95" s="8" t="n"/>
      <c r="G95" s="9">
        <f>IF(F95="Oui",COUNTIF(F$4:F95,"Oui"),"")</f>
        <v/>
      </c>
    </row>
    <row r="96">
      <c r="A96" s="2" t="inlineStr">
        <is>
          <t>INF-Q-05</t>
        </is>
      </c>
      <c r="B96" s="4" t="inlineStr">
        <is>
          <t>Prestations</t>
        </is>
      </c>
      <c r="C96" s="4" t="inlineStr">
        <is>
          <t>Infogérance bureautique</t>
        </is>
      </c>
      <c r="D96" s="4" t="inlineStr">
        <is>
          <t>RFI/RFP</t>
        </is>
      </c>
      <c r="E96" s="4" t="inlineStr">
        <is>
          <t>Réparation des matériels</t>
        </is>
      </c>
      <c r="F96" s="8" t="n"/>
      <c r="G96" s="9">
        <f>IF(F96="Oui",COUNTIF(F$4:F96,"Oui"),"")</f>
        <v/>
      </c>
    </row>
    <row r="97">
      <c r="A97" s="2" t="inlineStr">
        <is>
          <t>IA-Q-01</t>
        </is>
      </c>
      <c r="B97" s="4" t="inlineStr">
        <is>
          <t>IA</t>
        </is>
      </c>
      <c r="C97" s="4" t="inlineStr">
        <is>
          <t>IA et IAg prêt à l’emploi (chabot, détection automatique, …)</t>
        </is>
      </c>
      <c r="D97" s="4" t="inlineStr">
        <is>
          <t>RFI/RFP</t>
        </is>
      </c>
      <c r="E97" s="4" t="inlineStr">
        <is>
          <t>Mesure de l'Empreinte Carbone — ISO/IEC 21031 :2024 (SCI), RIA31. Focus sur le cycle de vie.</t>
        </is>
      </c>
      <c r="F97" s="8" t="n"/>
      <c r="G97" s="9">
        <f>IF(F97="Oui",COUNTIF(F$4:F97,"Oui"),"")</f>
        <v/>
      </c>
    </row>
    <row r="98">
      <c r="A98" s="2" t="inlineStr">
        <is>
          <t>IA-Q-02</t>
        </is>
      </c>
      <c r="B98" s="4" t="inlineStr">
        <is>
          <t>IA</t>
        </is>
      </c>
      <c r="C98" s="4" t="inlineStr">
        <is>
          <t>IA et IAg prêt à l’emploi (chabot, détection automatique, …)</t>
        </is>
      </c>
      <c r="D98" s="4" t="inlineStr">
        <is>
          <t>RFI/RFP</t>
        </is>
      </c>
      <c r="E98" s="4" t="inlineStr">
        <is>
          <t>Efficience &amp; Frugalité Numérique</t>
        </is>
      </c>
      <c r="F98" s="8" t="n"/>
      <c r="G98" s="9">
        <f>IF(F98="Oui",COUNTIF(F$4:F98,"Oui"),"")</f>
        <v/>
      </c>
    </row>
    <row r="99">
      <c r="A99" s="2" t="inlineStr">
        <is>
          <t>IA-Q-03</t>
        </is>
      </c>
      <c r="B99" s="4" t="inlineStr">
        <is>
          <t>IA</t>
        </is>
      </c>
      <c r="C99" s="4" t="inlineStr">
        <is>
          <t>IA et IAg prêt à l’emploi (chabot, détection automatique, …)</t>
        </is>
      </c>
      <c r="D99" s="4" t="inlineStr">
        <is>
          <t>RFI/RFP</t>
        </is>
      </c>
      <c r="E99" s="4" t="inlineStr">
        <is>
          <t>Localisation &amp; Intensité Carbone</t>
        </is>
      </c>
      <c r="F99" s="8" t="n"/>
      <c r="G99" s="9">
        <f>IF(F99="Oui",COUNTIF(F$4:F99,"Oui"),"")</f>
        <v/>
      </c>
    </row>
    <row r="100">
      <c r="A100" s="2" t="inlineStr">
        <is>
          <t>IA-Q-04</t>
        </is>
      </c>
      <c r="B100" s="4" t="inlineStr">
        <is>
          <t>IA</t>
        </is>
      </c>
      <c r="C100" s="4" t="inlineStr">
        <is>
          <t>IA / Accès à des modèles fondationnels</t>
        </is>
      </c>
      <c r="D100" s="4" t="inlineStr">
        <is>
          <t>RFI/RFP</t>
        </is>
      </c>
      <c r="E100" s="4" t="inlineStr">
        <is>
          <t>Empreinte Environnementale</t>
        </is>
      </c>
      <c r="F100" s="8" t="n"/>
      <c r="G100" s="9">
        <f>IF(F100="Oui",COUNTIF(F$4:F100,"Oui"),"")</f>
        <v/>
      </c>
    </row>
    <row r="101">
      <c r="A101" s="2" t="inlineStr">
        <is>
          <t>IA-Q-05</t>
        </is>
      </c>
      <c r="B101" s="4" t="inlineStr">
        <is>
          <t>IA</t>
        </is>
      </c>
      <c r="C101" s="4" t="inlineStr">
        <is>
          <t>IA / Accès à des modèles fondationnels</t>
        </is>
      </c>
      <c r="D101" s="4" t="inlineStr">
        <is>
          <t>RFI/RFP</t>
        </is>
      </c>
      <c r="E101" s="4" t="inlineStr">
        <is>
          <t>Gouvernance des Données</t>
        </is>
      </c>
      <c r="F101" s="8" t="n"/>
      <c r="G101" s="9">
        <f>IF(F101="Oui",COUNTIF(F$4:F101,"Oui"),"")</f>
        <v/>
      </c>
    </row>
    <row r="102">
      <c r="A102" s="2" t="inlineStr">
        <is>
          <t>IA-Q-06</t>
        </is>
      </c>
      <c r="B102" s="4" t="inlineStr">
        <is>
          <t>IA</t>
        </is>
      </c>
      <c r="C102" s="4" t="inlineStr">
        <is>
          <t>IA / Accès à des modèles fondationnels</t>
        </is>
      </c>
      <c r="D102" s="4" t="inlineStr">
        <is>
          <t>RFI/RFP</t>
        </is>
      </c>
      <c r="E102" s="4" t="inlineStr">
        <is>
          <t>Sobriété du Modèle</t>
        </is>
      </c>
      <c r="F102" s="8" t="n"/>
      <c r="G102" s="9">
        <f>IF(F102="Oui",COUNTIF(F$4:F102,"Oui"),"")</f>
        <v/>
      </c>
    </row>
    <row r="103">
      <c r="A103" s="2" t="inlineStr">
        <is>
          <t>IA-Q-07</t>
        </is>
      </c>
      <c r="B103" s="4" t="inlineStr">
        <is>
          <t>IA</t>
        </is>
      </c>
      <c r="C103" s="4" t="inlineStr">
        <is>
          <t>IA / Infrastructure de développement et de déploiement ou de stockage des données</t>
        </is>
      </c>
      <c r="D103" s="4" t="inlineStr">
        <is>
          <t>RFI/RFP</t>
        </is>
      </c>
      <c r="E103" s="4" t="inlineStr">
        <is>
          <t>Empreinte environnementale</t>
        </is>
      </c>
      <c r="F103" s="8" t="n"/>
      <c r="G103" s="9">
        <f>IF(F103="Oui",COUNTIF(F$4:F103,"Oui"),"")</f>
        <v/>
      </c>
    </row>
    <row r="104">
      <c r="A104" s="2" t="inlineStr">
        <is>
          <t>IA-Q-08</t>
        </is>
      </c>
      <c r="B104" s="4" t="inlineStr">
        <is>
          <t>IA</t>
        </is>
      </c>
      <c r="C104" s="4" t="inlineStr">
        <is>
          <t>IA / Infrastructure de développement et de déploiement ou de stockage des données</t>
        </is>
      </c>
      <c r="D104" s="4" t="inlineStr">
        <is>
          <t>RFI/RFP</t>
        </is>
      </c>
      <c r="E104" s="4" t="inlineStr">
        <is>
          <t>Efficacité énergétique</t>
        </is>
      </c>
      <c r="F104" s="8" t="n"/>
      <c r="G104" s="9">
        <f>IF(F104="Oui",COUNTIF(F$4:F104,"Oui"),"")</f>
        <v/>
      </c>
    </row>
    <row r="105">
      <c r="A105" s="2" t="inlineStr">
        <is>
          <t>IA-Q-09</t>
        </is>
      </c>
      <c r="B105" s="4" t="inlineStr">
        <is>
          <t>IA</t>
        </is>
      </c>
      <c r="C105" s="4" t="inlineStr">
        <is>
          <t>IA / Infrastructure de développement et de déploiement ou de stockage des données</t>
        </is>
      </c>
      <c r="D105" s="4" t="inlineStr">
        <is>
          <t>RFI/RFP</t>
        </is>
      </c>
      <c r="E105" s="4" t="inlineStr">
        <is>
          <t>Écoconception matérielle</t>
        </is>
      </c>
      <c r="F105" s="8" t="n"/>
      <c r="G105" s="9">
        <f>IF(F105="Oui",COUNTIF(F$4:F105,"Oui"),"")</f>
        <v/>
      </c>
    </row>
  </sheetData>
  <dataValidations count="1">
    <dataValidation sqref="F4:F105" showDropDown="0" showInputMessage="1" showErrorMessage="0" allowBlank="1" promptTitle="Retenir la clause ?" prompt="Oui pour l’ajouter à la feuille « Clauses retenues »." type="list">
      <formula1>"Oui,Non"</formula1>
    </dataValidation>
  </dataValidations>
  <pageMargins left="0.4" right="0.4" top="1" bottom="1" header="0.5" footer="0.5"/>
  <pageSetup orientation="portrait" paperSize="9" fitToHeight="0" fitToWidth="1"/>
  <headerFooter>
    <oddHeader/>
    <oddFooter>&amp;C&amp;A — page &amp;P /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K104"/>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5" customWidth="1" min="1" max="1"/>
    <col width="11" customWidth="1" min="2" max="2"/>
    <col width="30" customWidth="1" min="3" max="3"/>
    <col width="40" customWidth="1" min="4" max="4"/>
    <col width="45" customWidth="1" min="5" max="5"/>
    <col width="40" customWidth="1" min="6" max="6"/>
    <col width="50" customWidth="1" min="7" max="7"/>
    <col width="45" customWidth="1" min="8" max="8"/>
    <col width="45" customWidth="1" min="9" max="9"/>
    <col width="15" customWidth="1" min="10" max="10"/>
    <col width="13" customWidth="1" min="11" max="11"/>
  </cols>
  <sheetData>
    <row r="1">
      <c r="A1" s="7" t="inlineStr">
        <is>
          <t>Clauses retenues dans la feuille « Sélection », regroupées automatiquement. Ne pas saisir ici.</t>
        </is>
      </c>
    </row>
    <row r="2">
      <c r="A2" s="6" t="inlineStr">
        <is>
          <t>N°</t>
        </is>
      </c>
      <c r="B2" s="6" t="inlineStr">
        <is>
          <t>ID</t>
        </is>
      </c>
      <c r="C2" s="6" t="inlineStr">
        <is>
          <t>Critère</t>
        </is>
      </c>
      <c r="D2" s="6" t="inlineStr">
        <is>
          <t>Commentaire</t>
        </is>
      </c>
      <c r="E2" s="6" t="inlineStr">
        <is>
          <t>Exigences</t>
        </is>
      </c>
      <c r="F2" s="6" t="inlineStr">
        <is>
          <t>Livrables</t>
        </is>
      </c>
      <c r="G2" s="6" t="inlineStr">
        <is>
          <t>Questions</t>
        </is>
      </c>
      <c r="H2" s="6" t="inlineStr">
        <is>
          <t>Niveau 1 (Must have)</t>
        </is>
      </c>
      <c r="I2" s="6" t="inlineStr">
        <is>
          <t>Niveau 2 (Nice to have)</t>
        </is>
      </c>
      <c r="J2" s="6" t="inlineStr">
        <is>
          <t>Segment</t>
        </is>
      </c>
      <c r="K2" s="6" t="inlineStr">
        <is>
          <t>Phase</t>
        </is>
      </c>
    </row>
    <row r="3">
      <c r="A3" s="4">
        <f>IF(B3="","",1)</f>
        <v/>
      </c>
      <c r="B3" s="2">
        <f>IFERROR(INDEX('Sélection'!$A$4:$A$105,MATCH(1,'Sélection'!$G$4:$G$105,0)),"")</f>
        <v/>
      </c>
      <c r="C3" s="2">
        <f>IF($B3="","",SUBSTITUTE(INDEX('Données'!$B$2:$B$103,MATCH($B3,'Données'!$A$2:$A$103,0))&amp;"","¶",CHAR(10)))</f>
        <v/>
      </c>
      <c r="D3" s="4">
        <f>IF($B3="","",SUBSTITUTE(INDEX('Données'!$C$2:$C$103,MATCH($B3,'Données'!$A$2:$A$103,0))&amp;"","¶",CHAR(10)))</f>
        <v/>
      </c>
      <c r="E3" s="4">
        <f>IF($B3="","",SUBSTITUTE(INDEX('Données'!$D$2:$D$103,MATCH($B3,'Données'!$A$2:$A$103,0))&amp;"","¶",CHAR(10)))</f>
        <v/>
      </c>
      <c r="F3" s="4">
        <f>IF($B3="","",SUBSTITUTE(INDEX('Données'!$E$2:$E$103,MATCH($B3,'Données'!$A$2:$A$103,0))&amp;"","¶",CHAR(10)))</f>
        <v/>
      </c>
      <c r="G3" s="4">
        <f>IF($B3="","",SUBSTITUTE(INDEX('Données'!$F$2:$F$103,MATCH($B3,'Données'!$A$2:$A$103,0))&amp;"","¶",CHAR(10)))</f>
        <v/>
      </c>
      <c r="H3" s="4">
        <f>IF($B3="","",SUBSTITUTE(INDEX('Données'!$G$2:$G$103,MATCH($B3,'Données'!$A$2:$A$103,0))&amp;"","¶",CHAR(10)))</f>
        <v/>
      </c>
      <c r="I3" s="4">
        <f>IF($B3="","",SUBSTITUTE(INDEX('Données'!$H$2:$H$103,MATCH($B3,'Données'!$A$2:$A$103,0))&amp;"","¶",CHAR(10)))</f>
        <v/>
      </c>
      <c r="J3" s="4">
        <f>IF($B3="","",SUBSTITUTE(INDEX('Données'!$I$2:$I$103,MATCH($B3,'Données'!$A$2:$A$103,0))&amp;"","¶",CHAR(10)))</f>
        <v/>
      </c>
      <c r="K3" s="4">
        <f>IF($B3="","",SUBSTITUTE(INDEX('Données'!$K$2:$K$103,MATCH($B3,'Données'!$A$2:$A$103,0))&amp;"","¶",CHAR(10)))</f>
        <v/>
      </c>
    </row>
    <row r="4">
      <c r="A4" s="4">
        <f>IF(B4="","",2)</f>
        <v/>
      </c>
      <c r="B4" s="2">
        <f>IFERROR(INDEX('Sélection'!$A$4:$A$105,MATCH(2,'Sélection'!$G$4:$G$105,0)),"")</f>
        <v/>
      </c>
      <c r="C4" s="2">
        <f>IF($B4="","",SUBSTITUTE(INDEX('Données'!$B$2:$B$103,MATCH($B4,'Données'!$A$2:$A$103,0))&amp;"","¶",CHAR(10)))</f>
        <v/>
      </c>
      <c r="D4" s="4">
        <f>IF($B4="","",SUBSTITUTE(INDEX('Données'!$C$2:$C$103,MATCH($B4,'Données'!$A$2:$A$103,0))&amp;"","¶",CHAR(10)))</f>
        <v/>
      </c>
      <c r="E4" s="4">
        <f>IF($B4="","",SUBSTITUTE(INDEX('Données'!$D$2:$D$103,MATCH($B4,'Données'!$A$2:$A$103,0))&amp;"","¶",CHAR(10)))</f>
        <v/>
      </c>
      <c r="F4" s="4">
        <f>IF($B4="","",SUBSTITUTE(INDEX('Données'!$E$2:$E$103,MATCH($B4,'Données'!$A$2:$A$103,0))&amp;"","¶",CHAR(10)))</f>
        <v/>
      </c>
      <c r="G4" s="4">
        <f>IF($B4="","",SUBSTITUTE(INDEX('Données'!$F$2:$F$103,MATCH($B4,'Données'!$A$2:$A$103,0))&amp;"","¶",CHAR(10)))</f>
        <v/>
      </c>
      <c r="H4" s="4">
        <f>IF($B4="","",SUBSTITUTE(INDEX('Données'!$G$2:$G$103,MATCH($B4,'Données'!$A$2:$A$103,0))&amp;"","¶",CHAR(10)))</f>
        <v/>
      </c>
      <c r="I4" s="4">
        <f>IF($B4="","",SUBSTITUTE(INDEX('Données'!$H$2:$H$103,MATCH($B4,'Données'!$A$2:$A$103,0))&amp;"","¶",CHAR(10)))</f>
        <v/>
      </c>
      <c r="J4" s="4">
        <f>IF($B4="","",SUBSTITUTE(INDEX('Données'!$I$2:$I$103,MATCH($B4,'Données'!$A$2:$A$103,0))&amp;"","¶",CHAR(10)))</f>
        <v/>
      </c>
      <c r="K4" s="4">
        <f>IF($B4="","",SUBSTITUTE(INDEX('Données'!$K$2:$K$103,MATCH($B4,'Données'!$A$2:$A$103,0))&amp;"","¶",CHAR(10)))</f>
        <v/>
      </c>
    </row>
    <row r="5">
      <c r="A5" s="4">
        <f>IF(B5="","",3)</f>
        <v/>
      </c>
      <c r="B5" s="2">
        <f>IFERROR(INDEX('Sélection'!$A$4:$A$105,MATCH(3,'Sélection'!$G$4:$G$105,0)),"")</f>
        <v/>
      </c>
      <c r="C5" s="2">
        <f>IF($B5="","",SUBSTITUTE(INDEX('Données'!$B$2:$B$103,MATCH($B5,'Données'!$A$2:$A$103,0))&amp;"","¶",CHAR(10)))</f>
        <v/>
      </c>
      <c r="D5" s="4">
        <f>IF($B5="","",SUBSTITUTE(INDEX('Données'!$C$2:$C$103,MATCH($B5,'Données'!$A$2:$A$103,0))&amp;"","¶",CHAR(10)))</f>
        <v/>
      </c>
      <c r="E5" s="4">
        <f>IF($B5="","",SUBSTITUTE(INDEX('Données'!$D$2:$D$103,MATCH($B5,'Données'!$A$2:$A$103,0))&amp;"","¶",CHAR(10)))</f>
        <v/>
      </c>
      <c r="F5" s="4">
        <f>IF($B5="","",SUBSTITUTE(INDEX('Données'!$E$2:$E$103,MATCH($B5,'Données'!$A$2:$A$103,0))&amp;"","¶",CHAR(10)))</f>
        <v/>
      </c>
      <c r="G5" s="4">
        <f>IF($B5="","",SUBSTITUTE(INDEX('Données'!$F$2:$F$103,MATCH($B5,'Données'!$A$2:$A$103,0))&amp;"","¶",CHAR(10)))</f>
        <v/>
      </c>
      <c r="H5" s="4">
        <f>IF($B5="","",SUBSTITUTE(INDEX('Données'!$G$2:$G$103,MATCH($B5,'Données'!$A$2:$A$103,0))&amp;"","¶",CHAR(10)))</f>
        <v/>
      </c>
      <c r="I5" s="4">
        <f>IF($B5="","",SUBSTITUTE(INDEX('Données'!$H$2:$H$103,MATCH($B5,'Données'!$A$2:$A$103,0))&amp;"","¶",CHAR(10)))</f>
        <v/>
      </c>
      <c r="J5" s="4">
        <f>IF($B5="","",SUBSTITUTE(INDEX('Données'!$I$2:$I$103,MATCH($B5,'Données'!$A$2:$A$103,0))&amp;"","¶",CHAR(10)))</f>
        <v/>
      </c>
      <c r="K5" s="4">
        <f>IF($B5="","",SUBSTITUTE(INDEX('Données'!$K$2:$K$103,MATCH($B5,'Données'!$A$2:$A$103,0))&amp;"","¶",CHAR(10)))</f>
        <v/>
      </c>
    </row>
    <row r="6">
      <c r="A6" s="4">
        <f>IF(B6="","",4)</f>
        <v/>
      </c>
      <c r="B6" s="2">
        <f>IFERROR(INDEX('Sélection'!$A$4:$A$105,MATCH(4,'Sélection'!$G$4:$G$105,0)),"")</f>
        <v/>
      </c>
      <c r="C6" s="2">
        <f>IF($B6="","",SUBSTITUTE(INDEX('Données'!$B$2:$B$103,MATCH($B6,'Données'!$A$2:$A$103,0))&amp;"","¶",CHAR(10)))</f>
        <v/>
      </c>
      <c r="D6" s="4">
        <f>IF($B6="","",SUBSTITUTE(INDEX('Données'!$C$2:$C$103,MATCH($B6,'Données'!$A$2:$A$103,0))&amp;"","¶",CHAR(10)))</f>
        <v/>
      </c>
      <c r="E6" s="4">
        <f>IF($B6="","",SUBSTITUTE(INDEX('Données'!$D$2:$D$103,MATCH($B6,'Données'!$A$2:$A$103,0))&amp;"","¶",CHAR(10)))</f>
        <v/>
      </c>
      <c r="F6" s="4">
        <f>IF($B6="","",SUBSTITUTE(INDEX('Données'!$E$2:$E$103,MATCH($B6,'Données'!$A$2:$A$103,0))&amp;"","¶",CHAR(10)))</f>
        <v/>
      </c>
      <c r="G6" s="4">
        <f>IF($B6="","",SUBSTITUTE(INDEX('Données'!$F$2:$F$103,MATCH($B6,'Données'!$A$2:$A$103,0))&amp;"","¶",CHAR(10)))</f>
        <v/>
      </c>
      <c r="H6" s="4">
        <f>IF($B6="","",SUBSTITUTE(INDEX('Données'!$G$2:$G$103,MATCH($B6,'Données'!$A$2:$A$103,0))&amp;"","¶",CHAR(10)))</f>
        <v/>
      </c>
      <c r="I6" s="4">
        <f>IF($B6="","",SUBSTITUTE(INDEX('Données'!$H$2:$H$103,MATCH($B6,'Données'!$A$2:$A$103,0))&amp;"","¶",CHAR(10)))</f>
        <v/>
      </c>
      <c r="J6" s="4">
        <f>IF($B6="","",SUBSTITUTE(INDEX('Données'!$I$2:$I$103,MATCH($B6,'Données'!$A$2:$A$103,0))&amp;"","¶",CHAR(10)))</f>
        <v/>
      </c>
      <c r="K6" s="4">
        <f>IF($B6="","",SUBSTITUTE(INDEX('Données'!$K$2:$K$103,MATCH($B6,'Données'!$A$2:$A$103,0))&amp;"","¶",CHAR(10)))</f>
        <v/>
      </c>
    </row>
    <row r="7">
      <c r="A7" s="4">
        <f>IF(B7="","",5)</f>
        <v/>
      </c>
      <c r="B7" s="2">
        <f>IFERROR(INDEX('Sélection'!$A$4:$A$105,MATCH(5,'Sélection'!$G$4:$G$105,0)),"")</f>
        <v/>
      </c>
      <c r="C7" s="2">
        <f>IF($B7="","",SUBSTITUTE(INDEX('Données'!$B$2:$B$103,MATCH($B7,'Données'!$A$2:$A$103,0))&amp;"","¶",CHAR(10)))</f>
        <v/>
      </c>
      <c r="D7" s="4">
        <f>IF($B7="","",SUBSTITUTE(INDEX('Données'!$C$2:$C$103,MATCH($B7,'Données'!$A$2:$A$103,0))&amp;"","¶",CHAR(10)))</f>
        <v/>
      </c>
      <c r="E7" s="4">
        <f>IF($B7="","",SUBSTITUTE(INDEX('Données'!$D$2:$D$103,MATCH($B7,'Données'!$A$2:$A$103,0))&amp;"","¶",CHAR(10)))</f>
        <v/>
      </c>
      <c r="F7" s="4">
        <f>IF($B7="","",SUBSTITUTE(INDEX('Données'!$E$2:$E$103,MATCH($B7,'Données'!$A$2:$A$103,0))&amp;"","¶",CHAR(10)))</f>
        <v/>
      </c>
      <c r="G7" s="4">
        <f>IF($B7="","",SUBSTITUTE(INDEX('Données'!$F$2:$F$103,MATCH($B7,'Données'!$A$2:$A$103,0))&amp;"","¶",CHAR(10)))</f>
        <v/>
      </c>
      <c r="H7" s="4">
        <f>IF($B7="","",SUBSTITUTE(INDEX('Données'!$G$2:$G$103,MATCH($B7,'Données'!$A$2:$A$103,0))&amp;"","¶",CHAR(10)))</f>
        <v/>
      </c>
      <c r="I7" s="4">
        <f>IF($B7="","",SUBSTITUTE(INDEX('Données'!$H$2:$H$103,MATCH($B7,'Données'!$A$2:$A$103,0))&amp;"","¶",CHAR(10)))</f>
        <v/>
      </c>
      <c r="J7" s="4">
        <f>IF($B7="","",SUBSTITUTE(INDEX('Données'!$I$2:$I$103,MATCH($B7,'Données'!$A$2:$A$103,0))&amp;"","¶",CHAR(10)))</f>
        <v/>
      </c>
      <c r="K7" s="4">
        <f>IF($B7="","",SUBSTITUTE(INDEX('Données'!$K$2:$K$103,MATCH($B7,'Données'!$A$2:$A$103,0))&amp;"","¶",CHAR(10)))</f>
        <v/>
      </c>
    </row>
    <row r="8">
      <c r="A8" s="4">
        <f>IF(B8="","",6)</f>
        <v/>
      </c>
      <c r="B8" s="2">
        <f>IFERROR(INDEX('Sélection'!$A$4:$A$105,MATCH(6,'Sélection'!$G$4:$G$105,0)),"")</f>
        <v/>
      </c>
      <c r="C8" s="2">
        <f>IF($B8="","",SUBSTITUTE(INDEX('Données'!$B$2:$B$103,MATCH($B8,'Données'!$A$2:$A$103,0))&amp;"","¶",CHAR(10)))</f>
        <v/>
      </c>
      <c r="D8" s="4">
        <f>IF($B8="","",SUBSTITUTE(INDEX('Données'!$C$2:$C$103,MATCH($B8,'Données'!$A$2:$A$103,0))&amp;"","¶",CHAR(10)))</f>
        <v/>
      </c>
      <c r="E8" s="4">
        <f>IF($B8="","",SUBSTITUTE(INDEX('Données'!$D$2:$D$103,MATCH($B8,'Données'!$A$2:$A$103,0))&amp;"","¶",CHAR(10)))</f>
        <v/>
      </c>
      <c r="F8" s="4">
        <f>IF($B8="","",SUBSTITUTE(INDEX('Données'!$E$2:$E$103,MATCH($B8,'Données'!$A$2:$A$103,0))&amp;"","¶",CHAR(10)))</f>
        <v/>
      </c>
      <c r="G8" s="4">
        <f>IF($B8="","",SUBSTITUTE(INDEX('Données'!$F$2:$F$103,MATCH($B8,'Données'!$A$2:$A$103,0))&amp;"","¶",CHAR(10)))</f>
        <v/>
      </c>
      <c r="H8" s="4">
        <f>IF($B8="","",SUBSTITUTE(INDEX('Données'!$G$2:$G$103,MATCH($B8,'Données'!$A$2:$A$103,0))&amp;"","¶",CHAR(10)))</f>
        <v/>
      </c>
      <c r="I8" s="4">
        <f>IF($B8="","",SUBSTITUTE(INDEX('Données'!$H$2:$H$103,MATCH($B8,'Données'!$A$2:$A$103,0))&amp;"","¶",CHAR(10)))</f>
        <v/>
      </c>
      <c r="J8" s="4">
        <f>IF($B8="","",SUBSTITUTE(INDEX('Données'!$I$2:$I$103,MATCH($B8,'Données'!$A$2:$A$103,0))&amp;"","¶",CHAR(10)))</f>
        <v/>
      </c>
      <c r="K8" s="4">
        <f>IF($B8="","",SUBSTITUTE(INDEX('Données'!$K$2:$K$103,MATCH($B8,'Données'!$A$2:$A$103,0))&amp;"","¶",CHAR(10)))</f>
        <v/>
      </c>
    </row>
    <row r="9">
      <c r="A9" s="4">
        <f>IF(B9="","",7)</f>
        <v/>
      </c>
      <c r="B9" s="2">
        <f>IFERROR(INDEX('Sélection'!$A$4:$A$105,MATCH(7,'Sélection'!$G$4:$G$105,0)),"")</f>
        <v/>
      </c>
      <c r="C9" s="2">
        <f>IF($B9="","",SUBSTITUTE(INDEX('Données'!$B$2:$B$103,MATCH($B9,'Données'!$A$2:$A$103,0))&amp;"","¶",CHAR(10)))</f>
        <v/>
      </c>
      <c r="D9" s="4">
        <f>IF($B9="","",SUBSTITUTE(INDEX('Données'!$C$2:$C$103,MATCH($B9,'Données'!$A$2:$A$103,0))&amp;"","¶",CHAR(10)))</f>
        <v/>
      </c>
      <c r="E9" s="4">
        <f>IF($B9="","",SUBSTITUTE(INDEX('Données'!$D$2:$D$103,MATCH($B9,'Données'!$A$2:$A$103,0))&amp;"","¶",CHAR(10)))</f>
        <v/>
      </c>
      <c r="F9" s="4">
        <f>IF($B9="","",SUBSTITUTE(INDEX('Données'!$E$2:$E$103,MATCH($B9,'Données'!$A$2:$A$103,0))&amp;"","¶",CHAR(10)))</f>
        <v/>
      </c>
      <c r="G9" s="4">
        <f>IF($B9="","",SUBSTITUTE(INDEX('Données'!$F$2:$F$103,MATCH($B9,'Données'!$A$2:$A$103,0))&amp;"","¶",CHAR(10)))</f>
        <v/>
      </c>
      <c r="H9" s="4">
        <f>IF($B9="","",SUBSTITUTE(INDEX('Données'!$G$2:$G$103,MATCH($B9,'Données'!$A$2:$A$103,0))&amp;"","¶",CHAR(10)))</f>
        <v/>
      </c>
      <c r="I9" s="4">
        <f>IF($B9="","",SUBSTITUTE(INDEX('Données'!$H$2:$H$103,MATCH($B9,'Données'!$A$2:$A$103,0))&amp;"","¶",CHAR(10)))</f>
        <v/>
      </c>
      <c r="J9" s="4">
        <f>IF($B9="","",SUBSTITUTE(INDEX('Données'!$I$2:$I$103,MATCH($B9,'Données'!$A$2:$A$103,0))&amp;"","¶",CHAR(10)))</f>
        <v/>
      </c>
      <c r="K9" s="4">
        <f>IF($B9="","",SUBSTITUTE(INDEX('Données'!$K$2:$K$103,MATCH($B9,'Données'!$A$2:$A$103,0))&amp;"","¶",CHAR(10)))</f>
        <v/>
      </c>
    </row>
    <row r="10">
      <c r="A10" s="4">
        <f>IF(B10="","",8)</f>
        <v/>
      </c>
      <c r="B10" s="2">
        <f>IFERROR(INDEX('Sélection'!$A$4:$A$105,MATCH(8,'Sélection'!$G$4:$G$105,0)),"")</f>
        <v/>
      </c>
      <c r="C10" s="2">
        <f>IF($B10="","",SUBSTITUTE(INDEX('Données'!$B$2:$B$103,MATCH($B10,'Données'!$A$2:$A$103,0))&amp;"","¶",CHAR(10)))</f>
        <v/>
      </c>
      <c r="D10" s="4">
        <f>IF($B10="","",SUBSTITUTE(INDEX('Données'!$C$2:$C$103,MATCH($B10,'Données'!$A$2:$A$103,0))&amp;"","¶",CHAR(10)))</f>
        <v/>
      </c>
      <c r="E10" s="4">
        <f>IF($B10="","",SUBSTITUTE(INDEX('Données'!$D$2:$D$103,MATCH($B10,'Données'!$A$2:$A$103,0))&amp;"","¶",CHAR(10)))</f>
        <v/>
      </c>
      <c r="F10" s="4">
        <f>IF($B10="","",SUBSTITUTE(INDEX('Données'!$E$2:$E$103,MATCH($B10,'Données'!$A$2:$A$103,0))&amp;"","¶",CHAR(10)))</f>
        <v/>
      </c>
      <c r="G10" s="4">
        <f>IF($B10="","",SUBSTITUTE(INDEX('Données'!$F$2:$F$103,MATCH($B10,'Données'!$A$2:$A$103,0))&amp;"","¶",CHAR(10)))</f>
        <v/>
      </c>
      <c r="H10" s="4">
        <f>IF($B10="","",SUBSTITUTE(INDEX('Données'!$G$2:$G$103,MATCH($B10,'Données'!$A$2:$A$103,0))&amp;"","¶",CHAR(10)))</f>
        <v/>
      </c>
      <c r="I10" s="4">
        <f>IF($B10="","",SUBSTITUTE(INDEX('Données'!$H$2:$H$103,MATCH($B10,'Données'!$A$2:$A$103,0))&amp;"","¶",CHAR(10)))</f>
        <v/>
      </c>
      <c r="J10" s="4">
        <f>IF($B10="","",SUBSTITUTE(INDEX('Données'!$I$2:$I$103,MATCH($B10,'Données'!$A$2:$A$103,0))&amp;"","¶",CHAR(10)))</f>
        <v/>
      </c>
      <c r="K10" s="4">
        <f>IF($B10="","",SUBSTITUTE(INDEX('Données'!$K$2:$K$103,MATCH($B10,'Données'!$A$2:$A$103,0))&amp;"","¶",CHAR(10)))</f>
        <v/>
      </c>
    </row>
    <row r="11">
      <c r="A11" s="4">
        <f>IF(B11="","",9)</f>
        <v/>
      </c>
      <c r="B11" s="2">
        <f>IFERROR(INDEX('Sélection'!$A$4:$A$105,MATCH(9,'Sélection'!$G$4:$G$105,0)),"")</f>
        <v/>
      </c>
      <c r="C11" s="2">
        <f>IF($B11="","",SUBSTITUTE(INDEX('Données'!$B$2:$B$103,MATCH($B11,'Données'!$A$2:$A$103,0))&amp;"","¶",CHAR(10)))</f>
        <v/>
      </c>
      <c r="D11" s="4">
        <f>IF($B11="","",SUBSTITUTE(INDEX('Données'!$C$2:$C$103,MATCH($B11,'Données'!$A$2:$A$103,0))&amp;"","¶",CHAR(10)))</f>
        <v/>
      </c>
      <c r="E11" s="4">
        <f>IF($B11="","",SUBSTITUTE(INDEX('Données'!$D$2:$D$103,MATCH($B11,'Données'!$A$2:$A$103,0))&amp;"","¶",CHAR(10)))</f>
        <v/>
      </c>
      <c r="F11" s="4">
        <f>IF($B11="","",SUBSTITUTE(INDEX('Données'!$E$2:$E$103,MATCH($B11,'Données'!$A$2:$A$103,0))&amp;"","¶",CHAR(10)))</f>
        <v/>
      </c>
      <c r="G11" s="4">
        <f>IF($B11="","",SUBSTITUTE(INDEX('Données'!$F$2:$F$103,MATCH($B11,'Données'!$A$2:$A$103,0))&amp;"","¶",CHAR(10)))</f>
        <v/>
      </c>
      <c r="H11" s="4">
        <f>IF($B11="","",SUBSTITUTE(INDEX('Données'!$G$2:$G$103,MATCH($B11,'Données'!$A$2:$A$103,0))&amp;"","¶",CHAR(10)))</f>
        <v/>
      </c>
      <c r="I11" s="4">
        <f>IF($B11="","",SUBSTITUTE(INDEX('Données'!$H$2:$H$103,MATCH($B11,'Données'!$A$2:$A$103,0))&amp;"","¶",CHAR(10)))</f>
        <v/>
      </c>
      <c r="J11" s="4">
        <f>IF($B11="","",SUBSTITUTE(INDEX('Données'!$I$2:$I$103,MATCH($B11,'Données'!$A$2:$A$103,0))&amp;"","¶",CHAR(10)))</f>
        <v/>
      </c>
      <c r="K11" s="4">
        <f>IF($B11="","",SUBSTITUTE(INDEX('Données'!$K$2:$K$103,MATCH($B11,'Données'!$A$2:$A$103,0))&amp;"","¶",CHAR(10)))</f>
        <v/>
      </c>
    </row>
    <row r="12">
      <c r="A12" s="4">
        <f>IF(B12="","",10)</f>
        <v/>
      </c>
      <c r="B12" s="2">
        <f>IFERROR(INDEX('Sélection'!$A$4:$A$105,MATCH(10,'Sélection'!$G$4:$G$105,0)),"")</f>
        <v/>
      </c>
      <c r="C12" s="2">
        <f>IF($B12="","",SUBSTITUTE(INDEX('Données'!$B$2:$B$103,MATCH($B12,'Données'!$A$2:$A$103,0))&amp;"","¶",CHAR(10)))</f>
        <v/>
      </c>
      <c r="D12" s="4">
        <f>IF($B12="","",SUBSTITUTE(INDEX('Données'!$C$2:$C$103,MATCH($B12,'Données'!$A$2:$A$103,0))&amp;"","¶",CHAR(10)))</f>
        <v/>
      </c>
      <c r="E12" s="4">
        <f>IF($B12="","",SUBSTITUTE(INDEX('Données'!$D$2:$D$103,MATCH($B12,'Données'!$A$2:$A$103,0))&amp;"","¶",CHAR(10)))</f>
        <v/>
      </c>
      <c r="F12" s="4">
        <f>IF($B12="","",SUBSTITUTE(INDEX('Données'!$E$2:$E$103,MATCH($B12,'Données'!$A$2:$A$103,0))&amp;"","¶",CHAR(10)))</f>
        <v/>
      </c>
      <c r="G12" s="4">
        <f>IF($B12="","",SUBSTITUTE(INDEX('Données'!$F$2:$F$103,MATCH($B12,'Données'!$A$2:$A$103,0))&amp;"","¶",CHAR(10)))</f>
        <v/>
      </c>
      <c r="H12" s="4">
        <f>IF($B12="","",SUBSTITUTE(INDEX('Données'!$G$2:$G$103,MATCH($B12,'Données'!$A$2:$A$103,0))&amp;"","¶",CHAR(10)))</f>
        <v/>
      </c>
      <c r="I12" s="4">
        <f>IF($B12="","",SUBSTITUTE(INDEX('Données'!$H$2:$H$103,MATCH($B12,'Données'!$A$2:$A$103,0))&amp;"","¶",CHAR(10)))</f>
        <v/>
      </c>
      <c r="J12" s="4">
        <f>IF($B12="","",SUBSTITUTE(INDEX('Données'!$I$2:$I$103,MATCH($B12,'Données'!$A$2:$A$103,0))&amp;"","¶",CHAR(10)))</f>
        <v/>
      </c>
      <c r="K12" s="4">
        <f>IF($B12="","",SUBSTITUTE(INDEX('Données'!$K$2:$K$103,MATCH($B12,'Données'!$A$2:$A$103,0))&amp;"","¶",CHAR(10)))</f>
        <v/>
      </c>
    </row>
    <row r="13">
      <c r="A13" s="4">
        <f>IF(B13="","",11)</f>
        <v/>
      </c>
      <c r="B13" s="2">
        <f>IFERROR(INDEX('Sélection'!$A$4:$A$105,MATCH(11,'Sélection'!$G$4:$G$105,0)),"")</f>
        <v/>
      </c>
      <c r="C13" s="2">
        <f>IF($B13="","",SUBSTITUTE(INDEX('Données'!$B$2:$B$103,MATCH($B13,'Données'!$A$2:$A$103,0))&amp;"","¶",CHAR(10)))</f>
        <v/>
      </c>
      <c r="D13" s="4">
        <f>IF($B13="","",SUBSTITUTE(INDEX('Données'!$C$2:$C$103,MATCH($B13,'Données'!$A$2:$A$103,0))&amp;"","¶",CHAR(10)))</f>
        <v/>
      </c>
      <c r="E13" s="4">
        <f>IF($B13="","",SUBSTITUTE(INDEX('Données'!$D$2:$D$103,MATCH($B13,'Données'!$A$2:$A$103,0))&amp;"","¶",CHAR(10)))</f>
        <v/>
      </c>
      <c r="F13" s="4">
        <f>IF($B13="","",SUBSTITUTE(INDEX('Données'!$E$2:$E$103,MATCH($B13,'Données'!$A$2:$A$103,0))&amp;"","¶",CHAR(10)))</f>
        <v/>
      </c>
      <c r="G13" s="4">
        <f>IF($B13="","",SUBSTITUTE(INDEX('Données'!$F$2:$F$103,MATCH($B13,'Données'!$A$2:$A$103,0))&amp;"","¶",CHAR(10)))</f>
        <v/>
      </c>
      <c r="H13" s="4">
        <f>IF($B13="","",SUBSTITUTE(INDEX('Données'!$G$2:$G$103,MATCH($B13,'Données'!$A$2:$A$103,0))&amp;"","¶",CHAR(10)))</f>
        <v/>
      </c>
      <c r="I13" s="4">
        <f>IF($B13="","",SUBSTITUTE(INDEX('Données'!$H$2:$H$103,MATCH($B13,'Données'!$A$2:$A$103,0))&amp;"","¶",CHAR(10)))</f>
        <v/>
      </c>
      <c r="J13" s="4">
        <f>IF($B13="","",SUBSTITUTE(INDEX('Données'!$I$2:$I$103,MATCH($B13,'Données'!$A$2:$A$103,0))&amp;"","¶",CHAR(10)))</f>
        <v/>
      </c>
      <c r="K13" s="4">
        <f>IF($B13="","",SUBSTITUTE(INDEX('Données'!$K$2:$K$103,MATCH($B13,'Données'!$A$2:$A$103,0))&amp;"","¶",CHAR(10)))</f>
        <v/>
      </c>
    </row>
    <row r="14">
      <c r="A14" s="4">
        <f>IF(B14="","",12)</f>
        <v/>
      </c>
      <c r="B14" s="2">
        <f>IFERROR(INDEX('Sélection'!$A$4:$A$105,MATCH(12,'Sélection'!$G$4:$G$105,0)),"")</f>
        <v/>
      </c>
      <c r="C14" s="2">
        <f>IF($B14="","",SUBSTITUTE(INDEX('Données'!$B$2:$B$103,MATCH($B14,'Données'!$A$2:$A$103,0))&amp;"","¶",CHAR(10)))</f>
        <v/>
      </c>
      <c r="D14" s="4">
        <f>IF($B14="","",SUBSTITUTE(INDEX('Données'!$C$2:$C$103,MATCH($B14,'Données'!$A$2:$A$103,0))&amp;"","¶",CHAR(10)))</f>
        <v/>
      </c>
      <c r="E14" s="4">
        <f>IF($B14="","",SUBSTITUTE(INDEX('Données'!$D$2:$D$103,MATCH($B14,'Données'!$A$2:$A$103,0))&amp;"","¶",CHAR(10)))</f>
        <v/>
      </c>
      <c r="F14" s="4">
        <f>IF($B14="","",SUBSTITUTE(INDEX('Données'!$E$2:$E$103,MATCH($B14,'Données'!$A$2:$A$103,0))&amp;"","¶",CHAR(10)))</f>
        <v/>
      </c>
      <c r="G14" s="4">
        <f>IF($B14="","",SUBSTITUTE(INDEX('Données'!$F$2:$F$103,MATCH($B14,'Données'!$A$2:$A$103,0))&amp;"","¶",CHAR(10)))</f>
        <v/>
      </c>
      <c r="H14" s="4">
        <f>IF($B14="","",SUBSTITUTE(INDEX('Données'!$G$2:$G$103,MATCH($B14,'Données'!$A$2:$A$103,0))&amp;"","¶",CHAR(10)))</f>
        <v/>
      </c>
      <c r="I14" s="4">
        <f>IF($B14="","",SUBSTITUTE(INDEX('Données'!$H$2:$H$103,MATCH($B14,'Données'!$A$2:$A$103,0))&amp;"","¶",CHAR(10)))</f>
        <v/>
      </c>
      <c r="J14" s="4">
        <f>IF($B14="","",SUBSTITUTE(INDEX('Données'!$I$2:$I$103,MATCH($B14,'Données'!$A$2:$A$103,0))&amp;"","¶",CHAR(10)))</f>
        <v/>
      </c>
      <c r="K14" s="4">
        <f>IF($B14="","",SUBSTITUTE(INDEX('Données'!$K$2:$K$103,MATCH($B14,'Données'!$A$2:$A$103,0))&amp;"","¶",CHAR(10)))</f>
        <v/>
      </c>
    </row>
    <row r="15">
      <c r="A15" s="4">
        <f>IF(B15="","",13)</f>
        <v/>
      </c>
      <c r="B15" s="2">
        <f>IFERROR(INDEX('Sélection'!$A$4:$A$105,MATCH(13,'Sélection'!$G$4:$G$105,0)),"")</f>
        <v/>
      </c>
      <c r="C15" s="2">
        <f>IF($B15="","",SUBSTITUTE(INDEX('Données'!$B$2:$B$103,MATCH($B15,'Données'!$A$2:$A$103,0))&amp;"","¶",CHAR(10)))</f>
        <v/>
      </c>
      <c r="D15" s="4">
        <f>IF($B15="","",SUBSTITUTE(INDEX('Données'!$C$2:$C$103,MATCH($B15,'Données'!$A$2:$A$103,0))&amp;"","¶",CHAR(10)))</f>
        <v/>
      </c>
      <c r="E15" s="4">
        <f>IF($B15="","",SUBSTITUTE(INDEX('Données'!$D$2:$D$103,MATCH($B15,'Données'!$A$2:$A$103,0))&amp;"","¶",CHAR(10)))</f>
        <v/>
      </c>
      <c r="F15" s="4">
        <f>IF($B15="","",SUBSTITUTE(INDEX('Données'!$E$2:$E$103,MATCH($B15,'Données'!$A$2:$A$103,0))&amp;"","¶",CHAR(10)))</f>
        <v/>
      </c>
      <c r="G15" s="4">
        <f>IF($B15="","",SUBSTITUTE(INDEX('Données'!$F$2:$F$103,MATCH($B15,'Données'!$A$2:$A$103,0))&amp;"","¶",CHAR(10)))</f>
        <v/>
      </c>
      <c r="H15" s="4">
        <f>IF($B15="","",SUBSTITUTE(INDEX('Données'!$G$2:$G$103,MATCH($B15,'Données'!$A$2:$A$103,0))&amp;"","¶",CHAR(10)))</f>
        <v/>
      </c>
      <c r="I15" s="4">
        <f>IF($B15="","",SUBSTITUTE(INDEX('Données'!$H$2:$H$103,MATCH($B15,'Données'!$A$2:$A$103,0))&amp;"","¶",CHAR(10)))</f>
        <v/>
      </c>
      <c r="J15" s="4">
        <f>IF($B15="","",SUBSTITUTE(INDEX('Données'!$I$2:$I$103,MATCH($B15,'Données'!$A$2:$A$103,0))&amp;"","¶",CHAR(10)))</f>
        <v/>
      </c>
      <c r="K15" s="4">
        <f>IF($B15="","",SUBSTITUTE(INDEX('Données'!$K$2:$K$103,MATCH($B15,'Données'!$A$2:$A$103,0))&amp;"","¶",CHAR(10)))</f>
        <v/>
      </c>
    </row>
    <row r="16">
      <c r="A16" s="4">
        <f>IF(B16="","",14)</f>
        <v/>
      </c>
      <c r="B16" s="2">
        <f>IFERROR(INDEX('Sélection'!$A$4:$A$105,MATCH(14,'Sélection'!$G$4:$G$105,0)),"")</f>
        <v/>
      </c>
      <c r="C16" s="2">
        <f>IF($B16="","",SUBSTITUTE(INDEX('Données'!$B$2:$B$103,MATCH($B16,'Données'!$A$2:$A$103,0))&amp;"","¶",CHAR(10)))</f>
        <v/>
      </c>
      <c r="D16" s="4">
        <f>IF($B16="","",SUBSTITUTE(INDEX('Données'!$C$2:$C$103,MATCH($B16,'Données'!$A$2:$A$103,0))&amp;"","¶",CHAR(10)))</f>
        <v/>
      </c>
      <c r="E16" s="4">
        <f>IF($B16="","",SUBSTITUTE(INDEX('Données'!$D$2:$D$103,MATCH($B16,'Données'!$A$2:$A$103,0))&amp;"","¶",CHAR(10)))</f>
        <v/>
      </c>
      <c r="F16" s="4">
        <f>IF($B16="","",SUBSTITUTE(INDEX('Données'!$E$2:$E$103,MATCH($B16,'Données'!$A$2:$A$103,0))&amp;"","¶",CHAR(10)))</f>
        <v/>
      </c>
      <c r="G16" s="4">
        <f>IF($B16="","",SUBSTITUTE(INDEX('Données'!$F$2:$F$103,MATCH($B16,'Données'!$A$2:$A$103,0))&amp;"","¶",CHAR(10)))</f>
        <v/>
      </c>
      <c r="H16" s="4">
        <f>IF($B16="","",SUBSTITUTE(INDEX('Données'!$G$2:$G$103,MATCH($B16,'Données'!$A$2:$A$103,0))&amp;"","¶",CHAR(10)))</f>
        <v/>
      </c>
      <c r="I16" s="4">
        <f>IF($B16="","",SUBSTITUTE(INDEX('Données'!$H$2:$H$103,MATCH($B16,'Données'!$A$2:$A$103,0))&amp;"","¶",CHAR(10)))</f>
        <v/>
      </c>
      <c r="J16" s="4">
        <f>IF($B16="","",SUBSTITUTE(INDEX('Données'!$I$2:$I$103,MATCH($B16,'Données'!$A$2:$A$103,0))&amp;"","¶",CHAR(10)))</f>
        <v/>
      </c>
      <c r="K16" s="4">
        <f>IF($B16="","",SUBSTITUTE(INDEX('Données'!$K$2:$K$103,MATCH($B16,'Données'!$A$2:$A$103,0))&amp;"","¶",CHAR(10)))</f>
        <v/>
      </c>
    </row>
    <row r="17">
      <c r="A17" s="4">
        <f>IF(B17="","",15)</f>
        <v/>
      </c>
      <c r="B17" s="2">
        <f>IFERROR(INDEX('Sélection'!$A$4:$A$105,MATCH(15,'Sélection'!$G$4:$G$105,0)),"")</f>
        <v/>
      </c>
      <c r="C17" s="2">
        <f>IF($B17="","",SUBSTITUTE(INDEX('Données'!$B$2:$B$103,MATCH($B17,'Données'!$A$2:$A$103,0))&amp;"","¶",CHAR(10)))</f>
        <v/>
      </c>
      <c r="D17" s="4">
        <f>IF($B17="","",SUBSTITUTE(INDEX('Données'!$C$2:$C$103,MATCH($B17,'Données'!$A$2:$A$103,0))&amp;"","¶",CHAR(10)))</f>
        <v/>
      </c>
      <c r="E17" s="4">
        <f>IF($B17="","",SUBSTITUTE(INDEX('Données'!$D$2:$D$103,MATCH($B17,'Données'!$A$2:$A$103,0))&amp;"","¶",CHAR(10)))</f>
        <v/>
      </c>
      <c r="F17" s="4">
        <f>IF($B17="","",SUBSTITUTE(INDEX('Données'!$E$2:$E$103,MATCH($B17,'Données'!$A$2:$A$103,0))&amp;"","¶",CHAR(10)))</f>
        <v/>
      </c>
      <c r="G17" s="4">
        <f>IF($B17="","",SUBSTITUTE(INDEX('Données'!$F$2:$F$103,MATCH($B17,'Données'!$A$2:$A$103,0))&amp;"","¶",CHAR(10)))</f>
        <v/>
      </c>
      <c r="H17" s="4">
        <f>IF($B17="","",SUBSTITUTE(INDEX('Données'!$G$2:$G$103,MATCH($B17,'Données'!$A$2:$A$103,0))&amp;"","¶",CHAR(10)))</f>
        <v/>
      </c>
      <c r="I17" s="4">
        <f>IF($B17="","",SUBSTITUTE(INDEX('Données'!$H$2:$H$103,MATCH($B17,'Données'!$A$2:$A$103,0))&amp;"","¶",CHAR(10)))</f>
        <v/>
      </c>
      <c r="J17" s="4">
        <f>IF($B17="","",SUBSTITUTE(INDEX('Données'!$I$2:$I$103,MATCH($B17,'Données'!$A$2:$A$103,0))&amp;"","¶",CHAR(10)))</f>
        <v/>
      </c>
      <c r="K17" s="4">
        <f>IF($B17="","",SUBSTITUTE(INDEX('Données'!$K$2:$K$103,MATCH($B17,'Données'!$A$2:$A$103,0))&amp;"","¶",CHAR(10)))</f>
        <v/>
      </c>
    </row>
    <row r="18">
      <c r="A18" s="4">
        <f>IF(B18="","",16)</f>
        <v/>
      </c>
      <c r="B18" s="2">
        <f>IFERROR(INDEX('Sélection'!$A$4:$A$105,MATCH(16,'Sélection'!$G$4:$G$105,0)),"")</f>
        <v/>
      </c>
      <c r="C18" s="2">
        <f>IF($B18="","",SUBSTITUTE(INDEX('Données'!$B$2:$B$103,MATCH($B18,'Données'!$A$2:$A$103,0))&amp;"","¶",CHAR(10)))</f>
        <v/>
      </c>
      <c r="D18" s="4">
        <f>IF($B18="","",SUBSTITUTE(INDEX('Données'!$C$2:$C$103,MATCH($B18,'Données'!$A$2:$A$103,0))&amp;"","¶",CHAR(10)))</f>
        <v/>
      </c>
      <c r="E18" s="4">
        <f>IF($B18="","",SUBSTITUTE(INDEX('Données'!$D$2:$D$103,MATCH($B18,'Données'!$A$2:$A$103,0))&amp;"","¶",CHAR(10)))</f>
        <v/>
      </c>
      <c r="F18" s="4">
        <f>IF($B18="","",SUBSTITUTE(INDEX('Données'!$E$2:$E$103,MATCH($B18,'Données'!$A$2:$A$103,0))&amp;"","¶",CHAR(10)))</f>
        <v/>
      </c>
      <c r="G18" s="4">
        <f>IF($B18="","",SUBSTITUTE(INDEX('Données'!$F$2:$F$103,MATCH($B18,'Données'!$A$2:$A$103,0))&amp;"","¶",CHAR(10)))</f>
        <v/>
      </c>
      <c r="H18" s="4">
        <f>IF($B18="","",SUBSTITUTE(INDEX('Données'!$G$2:$G$103,MATCH($B18,'Données'!$A$2:$A$103,0))&amp;"","¶",CHAR(10)))</f>
        <v/>
      </c>
      <c r="I18" s="4">
        <f>IF($B18="","",SUBSTITUTE(INDEX('Données'!$H$2:$H$103,MATCH($B18,'Données'!$A$2:$A$103,0))&amp;"","¶",CHAR(10)))</f>
        <v/>
      </c>
      <c r="J18" s="4">
        <f>IF($B18="","",SUBSTITUTE(INDEX('Données'!$I$2:$I$103,MATCH($B18,'Données'!$A$2:$A$103,0))&amp;"","¶",CHAR(10)))</f>
        <v/>
      </c>
      <c r="K18" s="4">
        <f>IF($B18="","",SUBSTITUTE(INDEX('Données'!$K$2:$K$103,MATCH($B18,'Données'!$A$2:$A$103,0))&amp;"","¶",CHAR(10)))</f>
        <v/>
      </c>
    </row>
    <row r="19">
      <c r="A19" s="4">
        <f>IF(B19="","",17)</f>
        <v/>
      </c>
      <c r="B19" s="2">
        <f>IFERROR(INDEX('Sélection'!$A$4:$A$105,MATCH(17,'Sélection'!$G$4:$G$105,0)),"")</f>
        <v/>
      </c>
      <c r="C19" s="2">
        <f>IF($B19="","",SUBSTITUTE(INDEX('Données'!$B$2:$B$103,MATCH($B19,'Données'!$A$2:$A$103,0))&amp;"","¶",CHAR(10)))</f>
        <v/>
      </c>
      <c r="D19" s="4">
        <f>IF($B19="","",SUBSTITUTE(INDEX('Données'!$C$2:$C$103,MATCH($B19,'Données'!$A$2:$A$103,0))&amp;"","¶",CHAR(10)))</f>
        <v/>
      </c>
      <c r="E19" s="4">
        <f>IF($B19="","",SUBSTITUTE(INDEX('Données'!$D$2:$D$103,MATCH($B19,'Données'!$A$2:$A$103,0))&amp;"","¶",CHAR(10)))</f>
        <v/>
      </c>
      <c r="F19" s="4">
        <f>IF($B19="","",SUBSTITUTE(INDEX('Données'!$E$2:$E$103,MATCH($B19,'Données'!$A$2:$A$103,0))&amp;"","¶",CHAR(10)))</f>
        <v/>
      </c>
      <c r="G19" s="4">
        <f>IF($B19="","",SUBSTITUTE(INDEX('Données'!$F$2:$F$103,MATCH($B19,'Données'!$A$2:$A$103,0))&amp;"","¶",CHAR(10)))</f>
        <v/>
      </c>
      <c r="H19" s="4">
        <f>IF($B19="","",SUBSTITUTE(INDEX('Données'!$G$2:$G$103,MATCH($B19,'Données'!$A$2:$A$103,0))&amp;"","¶",CHAR(10)))</f>
        <v/>
      </c>
      <c r="I19" s="4">
        <f>IF($B19="","",SUBSTITUTE(INDEX('Données'!$H$2:$H$103,MATCH($B19,'Données'!$A$2:$A$103,0))&amp;"","¶",CHAR(10)))</f>
        <v/>
      </c>
      <c r="J19" s="4">
        <f>IF($B19="","",SUBSTITUTE(INDEX('Données'!$I$2:$I$103,MATCH($B19,'Données'!$A$2:$A$103,0))&amp;"","¶",CHAR(10)))</f>
        <v/>
      </c>
      <c r="K19" s="4">
        <f>IF($B19="","",SUBSTITUTE(INDEX('Données'!$K$2:$K$103,MATCH($B19,'Données'!$A$2:$A$103,0))&amp;"","¶",CHAR(10)))</f>
        <v/>
      </c>
    </row>
    <row r="20">
      <c r="A20" s="4">
        <f>IF(B20="","",18)</f>
        <v/>
      </c>
      <c r="B20" s="2">
        <f>IFERROR(INDEX('Sélection'!$A$4:$A$105,MATCH(18,'Sélection'!$G$4:$G$105,0)),"")</f>
        <v/>
      </c>
      <c r="C20" s="2">
        <f>IF($B20="","",SUBSTITUTE(INDEX('Données'!$B$2:$B$103,MATCH($B20,'Données'!$A$2:$A$103,0))&amp;"","¶",CHAR(10)))</f>
        <v/>
      </c>
      <c r="D20" s="4">
        <f>IF($B20="","",SUBSTITUTE(INDEX('Données'!$C$2:$C$103,MATCH($B20,'Données'!$A$2:$A$103,0))&amp;"","¶",CHAR(10)))</f>
        <v/>
      </c>
      <c r="E20" s="4">
        <f>IF($B20="","",SUBSTITUTE(INDEX('Données'!$D$2:$D$103,MATCH($B20,'Données'!$A$2:$A$103,0))&amp;"","¶",CHAR(10)))</f>
        <v/>
      </c>
      <c r="F20" s="4">
        <f>IF($B20="","",SUBSTITUTE(INDEX('Données'!$E$2:$E$103,MATCH($B20,'Données'!$A$2:$A$103,0))&amp;"","¶",CHAR(10)))</f>
        <v/>
      </c>
      <c r="G20" s="4">
        <f>IF($B20="","",SUBSTITUTE(INDEX('Données'!$F$2:$F$103,MATCH($B20,'Données'!$A$2:$A$103,0))&amp;"","¶",CHAR(10)))</f>
        <v/>
      </c>
      <c r="H20" s="4">
        <f>IF($B20="","",SUBSTITUTE(INDEX('Données'!$G$2:$G$103,MATCH($B20,'Données'!$A$2:$A$103,0))&amp;"","¶",CHAR(10)))</f>
        <v/>
      </c>
      <c r="I20" s="4">
        <f>IF($B20="","",SUBSTITUTE(INDEX('Données'!$H$2:$H$103,MATCH($B20,'Données'!$A$2:$A$103,0))&amp;"","¶",CHAR(10)))</f>
        <v/>
      </c>
      <c r="J20" s="4">
        <f>IF($B20="","",SUBSTITUTE(INDEX('Données'!$I$2:$I$103,MATCH($B20,'Données'!$A$2:$A$103,0))&amp;"","¶",CHAR(10)))</f>
        <v/>
      </c>
      <c r="K20" s="4">
        <f>IF($B20="","",SUBSTITUTE(INDEX('Données'!$K$2:$K$103,MATCH($B20,'Données'!$A$2:$A$103,0))&amp;"","¶",CHAR(10)))</f>
        <v/>
      </c>
    </row>
    <row r="21">
      <c r="A21" s="4">
        <f>IF(B21="","",19)</f>
        <v/>
      </c>
      <c r="B21" s="2">
        <f>IFERROR(INDEX('Sélection'!$A$4:$A$105,MATCH(19,'Sélection'!$G$4:$G$105,0)),"")</f>
        <v/>
      </c>
      <c r="C21" s="2">
        <f>IF($B21="","",SUBSTITUTE(INDEX('Données'!$B$2:$B$103,MATCH($B21,'Données'!$A$2:$A$103,0))&amp;"","¶",CHAR(10)))</f>
        <v/>
      </c>
      <c r="D21" s="4">
        <f>IF($B21="","",SUBSTITUTE(INDEX('Données'!$C$2:$C$103,MATCH($B21,'Données'!$A$2:$A$103,0))&amp;"","¶",CHAR(10)))</f>
        <v/>
      </c>
      <c r="E21" s="4">
        <f>IF($B21="","",SUBSTITUTE(INDEX('Données'!$D$2:$D$103,MATCH($B21,'Données'!$A$2:$A$103,0))&amp;"","¶",CHAR(10)))</f>
        <v/>
      </c>
      <c r="F21" s="4">
        <f>IF($B21="","",SUBSTITUTE(INDEX('Données'!$E$2:$E$103,MATCH($B21,'Données'!$A$2:$A$103,0))&amp;"","¶",CHAR(10)))</f>
        <v/>
      </c>
      <c r="G21" s="4">
        <f>IF($B21="","",SUBSTITUTE(INDEX('Données'!$F$2:$F$103,MATCH($B21,'Données'!$A$2:$A$103,0))&amp;"","¶",CHAR(10)))</f>
        <v/>
      </c>
      <c r="H21" s="4">
        <f>IF($B21="","",SUBSTITUTE(INDEX('Données'!$G$2:$G$103,MATCH($B21,'Données'!$A$2:$A$103,0))&amp;"","¶",CHAR(10)))</f>
        <v/>
      </c>
      <c r="I21" s="4">
        <f>IF($B21="","",SUBSTITUTE(INDEX('Données'!$H$2:$H$103,MATCH($B21,'Données'!$A$2:$A$103,0))&amp;"","¶",CHAR(10)))</f>
        <v/>
      </c>
      <c r="J21" s="4">
        <f>IF($B21="","",SUBSTITUTE(INDEX('Données'!$I$2:$I$103,MATCH($B21,'Données'!$A$2:$A$103,0))&amp;"","¶",CHAR(10)))</f>
        <v/>
      </c>
      <c r="K21" s="4">
        <f>IF($B21="","",SUBSTITUTE(INDEX('Données'!$K$2:$K$103,MATCH($B21,'Données'!$A$2:$A$103,0))&amp;"","¶",CHAR(10)))</f>
        <v/>
      </c>
    </row>
    <row r="22">
      <c r="A22" s="4">
        <f>IF(B22="","",20)</f>
        <v/>
      </c>
      <c r="B22" s="2">
        <f>IFERROR(INDEX('Sélection'!$A$4:$A$105,MATCH(20,'Sélection'!$G$4:$G$105,0)),"")</f>
        <v/>
      </c>
      <c r="C22" s="2">
        <f>IF($B22="","",SUBSTITUTE(INDEX('Données'!$B$2:$B$103,MATCH($B22,'Données'!$A$2:$A$103,0))&amp;"","¶",CHAR(10)))</f>
        <v/>
      </c>
      <c r="D22" s="4">
        <f>IF($B22="","",SUBSTITUTE(INDEX('Données'!$C$2:$C$103,MATCH($B22,'Données'!$A$2:$A$103,0))&amp;"","¶",CHAR(10)))</f>
        <v/>
      </c>
      <c r="E22" s="4">
        <f>IF($B22="","",SUBSTITUTE(INDEX('Données'!$D$2:$D$103,MATCH($B22,'Données'!$A$2:$A$103,0))&amp;"","¶",CHAR(10)))</f>
        <v/>
      </c>
      <c r="F22" s="4">
        <f>IF($B22="","",SUBSTITUTE(INDEX('Données'!$E$2:$E$103,MATCH($B22,'Données'!$A$2:$A$103,0))&amp;"","¶",CHAR(10)))</f>
        <v/>
      </c>
      <c r="G22" s="4">
        <f>IF($B22="","",SUBSTITUTE(INDEX('Données'!$F$2:$F$103,MATCH($B22,'Données'!$A$2:$A$103,0))&amp;"","¶",CHAR(10)))</f>
        <v/>
      </c>
      <c r="H22" s="4">
        <f>IF($B22="","",SUBSTITUTE(INDEX('Données'!$G$2:$G$103,MATCH($B22,'Données'!$A$2:$A$103,0))&amp;"","¶",CHAR(10)))</f>
        <v/>
      </c>
      <c r="I22" s="4">
        <f>IF($B22="","",SUBSTITUTE(INDEX('Données'!$H$2:$H$103,MATCH($B22,'Données'!$A$2:$A$103,0))&amp;"","¶",CHAR(10)))</f>
        <v/>
      </c>
      <c r="J22" s="4">
        <f>IF($B22="","",SUBSTITUTE(INDEX('Données'!$I$2:$I$103,MATCH($B22,'Données'!$A$2:$A$103,0))&amp;"","¶",CHAR(10)))</f>
        <v/>
      </c>
      <c r="K22" s="4">
        <f>IF($B22="","",SUBSTITUTE(INDEX('Données'!$K$2:$K$103,MATCH($B22,'Données'!$A$2:$A$103,0))&amp;"","¶",CHAR(10)))</f>
        <v/>
      </c>
    </row>
    <row r="23">
      <c r="A23" s="4">
        <f>IF(B23="","",21)</f>
        <v/>
      </c>
      <c r="B23" s="2">
        <f>IFERROR(INDEX('Sélection'!$A$4:$A$105,MATCH(21,'Sélection'!$G$4:$G$105,0)),"")</f>
        <v/>
      </c>
      <c r="C23" s="2">
        <f>IF($B23="","",SUBSTITUTE(INDEX('Données'!$B$2:$B$103,MATCH($B23,'Données'!$A$2:$A$103,0))&amp;"","¶",CHAR(10)))</f>
        <v/>
      </c>
      <c r="D23" s="4">
        <f>IF($B23="","",SUBSTITUTE(INDEX('Données'!$C$2:$C$103,MATCH($B23,'Données'!$A$2:$A$103,0))&amp;"","¶",CHAR(10)))</f>
        <v/>
      </c>
      <c r="E23" s="4">
        <f>IF($B23="","",SUBSTITUTE(INDEX('Données'!$D$2:$D$103,MATCH($B23,'Données'!$A$2:$A$103,0))&amp;"","¶",CHAR(10)))</f>
        <v/>
      </c>
      <c r="F23" s="4">
        <f>IF($B23="","",SUBSTITUTE(INDEX('Données'!$E$2:$E$103,MATCH($B23,'Données'!$A$2:$A$103,0))&amp;"","¶",CHAR(10)))</f>
        <v/>
      </c>
      <c r="G23" s="4">
        <f>IF($B23="","",SUBSTITUTE(INDEX('Données'!$F$2:$F$103,MATCH($B23,'Données'!$A$2:$A$103,0))&amp;"","¶",CHAR(10)))</f>
        <v/>
      </c>
      <c r="H23" s="4">
        <f>IF($B23="","",SUBSTITUTE(INDEX('Données'!$G$2:$G$103,MATCH($B23,'Données'!$A$2:$A$103,0))&amp;"","¶",CHAR(10)))</f>
        <v/>
      </c>
      <c r="I23" s="4">
        <f>IF($B23="","",SUBSTITUTE(INDEX('Données'!$H$2:$H$103,MATCH($B23,'Données'!$A$2:$A$103,0))&amp;"","¶",CHAR(10)))</f>
        <v/>
      </c>
      <c r="J23" s="4">
        <f>IF($B23="","",SUBSTITUTE(INDEX('Données'!$I$2:$I$103,MATCH($B23,'Données'!$A$2:$A$103,0))&amp;"","¶",CHAR(10)))</f>
        <v/>
      </c>
      <c r="K23" s="4">
        <f>IF($B23="","",SUBSTITUTE(INDEX('Données'!$K$2:$K$103,MATCH($B23,'Données'!$A$2:$A$103,0))&amp;"","¶",CHAR(10)))</f>
        <v/>
      </c>
    </row>
    <row r="24">
      <c r="A24" s="4">
        <f>IF(B24="","",22)</f>
        <v/>
      </c>
      <c r="B24" s="2">
        <f>IFERROR(INDEX('Sélection'!$A$4:$A$105,MATCH(22,'Sélection'!$G$4:$G$105,0)),"")</f>
        <v/>
      </c>
      <c r="C24" s="2">
        <f>IF($B24="","",SUBSTITUTE(INDEX('Données'!$B$2:$B$103,MATCH($B24,'Données'!$A$2:$A$103,0))&amp;"","¶",CHAR(10)))</f>
        <v/>
      </c>
      <c r="D24" s="4">
        <f>IF($B24="","",SUBSTITUTE(INDEX('Données'!$C$2:$C$103,MATCH($B24,'Données'!$A$2:$A$103,0))&amp;"","¶",CHAR(10)))</f>
        <v/>
      </c>
      <c r="E24" s="4">
        <f>IF($B24="","",SUBSTITUTE(INDEX('Données'!$D$2:$D$103,MATCH($B24,'Données'!$A$2:$A$103,0))&amp;"","¶",CHAR(10)))</f>
        <v/>
      </c>
      <c r="F24" s="4">
        <f>IF($B24="","",SUBSTITUTE(INDEX('Données'!$E$2:$E$103,MATCH($B24,'Données'!$A$2:$A$103,0))&amp;"","¶",CHAR(10)))</f>
        <v/>
      </c>
      <c r="G24" s="4">
        <f>IF($B24="","",SUBSTITUTE(INDEX('Données'!$F$2:$F$103,MATCH($B24,'Données'!$A$2:$A$103,0))&amp;"","¶",CHAR(10)))</f>
        <v/>
      </c>
      <c r="H24" s="4">
        <f>IF($B24="","",SUBSTITUTE(INDEX('Données'!$G$2:$G$103,MATCH($B24,'Données'!$A$2:$A$103,0))&amp;"","¶",CHAR(10)))</f>
        <v/>
      </c>
      <c r="I24" s="4">
        <f>IF($B24="","",SUBSTITUTE(INDEX('Données'!$H$2:$H$103,MATCH($B24,'Données'!$A$2:$A$103,0))&amp;"","¶",CHAR(10)))</f>
        <v/>
      </c>
      <c r="J24" s="4">
        <f>IF($B24="","",SUBSTITUTE(INDEX('Données'!$I$2:$I$103,MATCH($B24,'Données'!$A$2:$A$103,0))&amp;"","¶",CHAR(10)))</f>
        <v/>
      </c>
      <c r="K24" s="4">
        <f>IF($B24="","",SUBSTITUTE(INDEX('Données'!$K$2:$K$103,MATCH($B24,'Données'!$A$2:$A$103,0))&amp;"","¶",CHAR(10)))</f>
        <v/>
      </c>
    </row>
    <row r="25">
      <c r="A25" s="4">
        <f>IF(B25="","",23)</f>
        <v/>
      </c>
      <c r="B25" s="2">
        <f>IFERROR(INDEX('Sélection'!$A$4:$A$105,MATCH(23,'Sélection'!$G$4:$G$105,0)),"")</f>
        <v/>
      </c>
      <c r="C25" s="2">
        <f>IF($B25="","",SUBSTITUTE(INDEX('Données'!$B$2:$B$103,MATCH($B25,'Données'!$A$2:$A$103,0))&amp;"","¶",CHAR(10)))</f>
        <v/>
      </c>
      <c r="D25" s="4">
        <f>IF($B25="","",SUBSTITUTE(INDEX('Données'!$C$2:$C$103,MATCH($B25,'Données'!$A$2:$A$103,0))&amp;"","¶",CHAR(10)))</f>
        <v/>
      </c>
      <c r="E25" s="4">
        <f>IF($B25="","",SUBSTITUTE(INDEX('Données'!$D$2:$D$103,MATCH($B25,'Données'!$A$2:$A$103,0))&amp;"","¶",CHAR(10)))</f>
        <v/>
      </c>
      <c r="F25" s="4">
        <f>IF($B25="","",SUBSTITUTE(INDEX('Données'!$E$2:$E$103,MATCH($B25,'Données'!$A$2:$A$103,0))&amp;"","¶",CHAR(10)))</f>
        <v/>
      </c>
      <c r="G25" s="4">
        <f>IF($B25="","",SUBSTITUTE(INDEX('Données'!$F$2:$F$103,MATCH($B25,'Données'!$A$2:$A$103,0))&amp;"","¶",CHAR(10)))</f>
        <v/>
      </c>
      <c r="H25" s="4">
        <f>IF($B25="","",SUBSTITUTE(INDEX('Données'!$G$2:$G$103,MATCH($B25,'Données'!$A$2:$A$103,0))&amp;"","¶",CHAR(10)))</f>
        <v/>
      </c>
      <c r="I25" s="4">
        <f>IF($B25="","",SUBSTITUTE(INDEX('Données'!$H$2:$H$103,MATCH($B25,'Données'!$A$2:$A$103,0))&amp;"","¶",CHAR(10)))</f>
        <v/>
      </c>
      <c r="J25" s="4">
        <f>IF($B25="","",SUBSTITUTE(INDEX('Données'!$I$2:$I$103,MATCH($B25,'Données'!$A$2:$A$103,0))&amp;"","¶",CHAR(10)))</f>
        <v/>
      </c>
      <c r="K25" s="4">
        <f>IF($B25="","",SUBSTITUTE(INDEX('Données'!$K$2:$K$103,MATCH($B25,'Données'!$A$2:$A$103,0))&amp;"","¶",CHAR(10)))</f>
        <v/>
      </c>
    </row>
    <row r="26">
      <c r="A26" s="4">
        <f>IF(B26="","",24)</f>
        <v/>
      </c>
      <c r="B26" s="2">
        <f>IFERROR(INDEX('Sélection'!$A$4:$A$105,MATCH(24,'Sélection'!$G$4:$G$105,0)),"")</f>
        <v/>
      </c>
      <c r="C26" s="2">
        <f>IF($B26="","",SUBSTITUTE(INDEX('Données'!$B$2:$B$103,MATCH($B26,'Données'!$A$2:$A$103,0))&amp;"","¶",CHAR(10)))</f>
        <v/>
      </c>
      <c r="D26" s="4">
        <f>IF($B26="","",SUBSTITUTE(INDEX('Données'!$C$2:$C$103,MATCH($B26,'Données'!$A$2:$A$103,0))&amp;"","¶",CHAR(10)))</f>
        <v/>
      </c>
      <c r="E26" s="4">
        <f>IF($B26="","",SUBSTITUTE(INDEX('Données'!$D$2:$D$103,MATCH($B26,'Données'!$A$2:$A$103,0))&amp;"","¶",CHAR(10)))</f>
        <v/>
      </c>
      <c r="F26" s="4">
        <f>IF($B26="","",SUBSTITUTE(INDEX('Données'!$E$2:$E$103,MATCH($B26,'Données'!$A$2:$A$103,0))&amp;"","¶",CHAR(10)))</f>
        <v/>
      </c>
      <c r="G26" s="4">
        <f>IF($B26="","",SUBSTITUTE(INDEX('Données'!$F$2:$F$103,MATCH($B26,'Données'!$A$2:$A$103,0))&amp;"","¶",CHAR(10)))</f>
        <v/>
      </c>
      <c r="H26" s="4">
        <f>IF($B26="","",SUBSTITUTE(INDEX('Données'!$G$2:$G$103,MATCH($B26,'Données'!$A$2:$A$103,0))&amp;"","¶",CHAR(10)))</f>
        <v/>
      </c>
      <c r="I26" s="4">
        <f>IF($B26="","",SUBSTITUTE(INDEX('Données'!$H$2:$H$103,MATCH($B26,'Données'!$A$2:$A$103,0))&amp;"","¶",CHAR(10)))</f>
        <v/>
      </c>
      <c r="J26" s="4">
        <f>IF($B26="","",SUBSTITUTE(INDEX('Données'!$I$2:$I$103,MATCH($B26,'Données'!$A$2:$A$103,0))&amp;"","¶",CHAR(10)))</f>
        <v/>
      </c>
      <c r="K26" s="4">
        <f>IF($B26="","",SUBSTITUTE(INDEX('Données'!$K$2:$K$103,MATCH($B26,'Données'!$A$2:$A$103,0))&amp;"","¶",CHAR(10)))</f>
        <v/>
      </c>
    </row>
    <row r="27">
      <c r="A27" s="4">
        <f>IF(B27="","",25)</f>
        <v/>
      </c>
      <c r="B27" s="2">
        <f>IFERROR(INDEX('Sélection'!$A$4:$A$105,MATCH(25,'Sélection'!$G$4:$G$105,0)),"")</f>
        <v/>
      </c>
      <c r="C27" s="2">
        <f>IF($B27="","",SUBSTITUTE(INDEX('Données'!$B$2:$B$103,MATCH($B27,'Données'!$A$2:$A$103,0))&amp;"","¶",CHAR(10)))</f>
        <v/>
      </c>
      <c r="D27" s="4">
        <f>IF($B27="","",SUBSTITUTE(INDEX('Données'!$C$2:$C$103,MATCH($B27,'Données'!$A$2:$A$103,0))&amp;"","¶",CHAR(10)))</f>
        <v/>
      </c>
      <c r="E27" s="4">
        <f>IF($B27="","",SUBSTITUTE(INDEX('Données'!$D$2:$D$103,MATCH($B27,'Données'!$A$2:$A$103,0))&amp;"","¶",CHAR(10)))</f>
        <v/>
      </c>
      <c r="F27" s="4">
        <f>IF($B27="","",SUBSTITUTE(INDEX('Données'!$E$2:$E$103,MATCH($B27,'Données'!$A$2:$A$103,0))&amp;"","¶",CHAR(10)))</f>
        <v/>
      </c>
      <c r="G27" s="4">
        <f>IF($B27="","",SUBSTITUTE(INDEX('Données'!$F$2:$F$103,MATCH($B27,'Données'!$A$2:$A$103,0))&amp;"","¶",CHAR(10)))</f>
        <v/>
      </c>
      <c r="H27" s="4">
        <f>IF($B27="","",SUBSTITUTE(INDEX('Données'!$G$2:$G$103,MATCH($B27,'Données'!$A$2:$A$103,0))&amp;"","¶",CHAR(10)))</f>
        <v/>
      </c>
      <c r="I27" s="4">
        <f>IF($B27="","",SUBSTITUTE(INDEX('Données'!$H$2:$H$103,MATCH($B27,'Données'!$A$2:$A$103,0))&amp;"","¶",CHAR(10)))</f>
        <v/>
      </c>
      <c r="J27" s="4">
        <f>IF($B27="","",SUBSTITUTE(INDEX('Données'!$I$2:$I$103,MATCH($B27,'Données'!$A$2:$A$103,0))&amp;"","¶",CHAR(10)))</f>
        <v/>
      </c>
      <c r="K27" s="4">
        <f>IF($B27="","",SUBSTITUTE(INDEX('Données'!$K$2:$K$103,MATCH($B27,'Données'!$A$2:$A$103,0))&amp;"","¶",CHAR(10)))</f>
        <v/>
      </c>
    </row>
    <row r="28">
      <c r="A28" s="4">
        <f>IF(B28="","",26)</f>
        <v/>
      </c>
      <c r="B28" s="2">
        <f>IFERROR(INDEX('Sélection'!$A$4:$A$105,MATCH(26,'Sélection'!$G$4:$G$105,0)),"")</f>
        <v/>
      </c>
      <c r="C28" s="2">
        <f>IF($B28="","",SUBSTITUTE(INDEX('Données'!$B$2:$B$103,MATCH($B28,'Données'!$A$2:$A$103,0))&amp;"","¶",CHAR(10)))</f>
        <v/>
      </c>
      <c r="D28" s="4">
        <f>IF($B28="","",SUBSTITUTE(INDEX('Données'!$C$2:$C$103,MATCH($B28,'Données'!$A$2:$A$103,0))&amp;"","¶",CHAR(10)))</f>
        <v/>
      </c>
      <c r="E28" s="4">
        <f>IF($B28="","",SUBSTITUTE(INDEX('Données'!$D$2:$D$103,MATCH($B28,'Données'!$A$2:$A$103,0))&amp;"","¶",CHAR(10)))</f>
        <v/>
      </c>
      <c r="F28" s="4">
        <f>IF($B28="","",SUBSTITUTE(INDEX('Données'!$E$2:$E$103,MATCH($B28,'Données'!$A$2:$A$103,0))&amp;"","¶",CHAR(10)))</f>
        <v/>
      </c>
      <c r="G28" s="4">
        <f>IF($B28="","",SUBSTITUTE(INDEX('Données'!$F$2:$F$103,MATCH($B28,'Données'!$A$2:$A$103,0))&amp;"","¶",CHAR(10)))</f>
        <v/>
      </c>
      <c r="H28" s="4">
        <f>IF($B28="","",SUBSTITUTE(INDEX('Données'!$G$2:$G$103,MATCH($B28,'Données'!$A$2:$A$103,0))&amp;"","¶",CHAR(10)))</f>
        <v/>
      </c>
      <c r="I28" s="4">
        <f>IF($B28="","",SUBSTITUTE(INDEX('Données'!$H$2:$H$103,MATCH($B28,'Données'!$A$2:$A$103,0))&amp;"","¶",CHAR(10)))</f>
        <v/>
      </c>
      <c r="J28" s="4">
        <f>IF($B28="","",SUBSTITUTE(INDEX('Données'!$I$2:$I$103,MATCH($B28,'Données'!$A$2:$A$103,0))&amp;"","¶",CHAR(10)))</f>
        <v/>
      </c>
      <c r="K28" s="4">
        <f>IF($B28="","",SUBSTITUTE(INDEX('Données'!$K$2:$K$103,MATCH($B28,'Données'!$A$2:$A$103,0))&amp;"","¶",CHAR(10)))</f>
        <v/>
      </c>
    </row>
    <row r="29">
      <c r="A29" s="4">
        <f>IF(B29="","",27)</f>
        <v/>
      </c>
      <c r="B29" s="2">
        <f>IFERROR(INDEX('Sélection'!$A$4:$A$105,MATCH(27,'Sélection'!$G$4:$G$105,0)),"")</f>
        <v/>
      </c>
      <c r="C29" s="2">
        <f>IF($B29="","",SUBSTITUTE(INDEX('Données'!$B$2:$B$103,MATCH($B29,'Données'!$A$2:$A$103,0))&amp;"","¶",CHAR(10)))</f>
        <v/>
      </c>
      <c r="D29" s="4">
        <f>IF($B29="","",SUBSTITUTE(INDEX('Données'!$C$2:$C$103,MATCH($B29,'Données'!$A$2:$A$103,0))&amp;"","¶",CHAR(10)))</f>
        <v/>
      </c>
      <c r="E29" s="4">
        <f>IF($B29="","",SUBSTITUTE(INDEX('Données'!$D$2:$D$103,MATCH($B29,'Données'!$A$2:$A$103,0))&amp;"","¶",CHAR(10)))</f>
        <v/>
      </c>
      <c r="F29" s="4">
        <f>IF($B29="","",SUBSTITUTE(INDEX('Données'!$E$2:$E$103,MATCH($B29,'Données'!$A$2:$A$103,0))&amp;"","¶",CHAR(10)))</f>
        <v/>
      </c>
      <c r="G29" s="4">
        <f>IF($B29="","",SUBSTITUTE(INDEX('Données'!$F$2:$F$103,MATCH($B29,'Données'!$A$2:$A$103,0))&amp;"","¶",CHAR(10)))</f>
        <v/>
      </c>
      <c r="H29" s="4">
        <f>IF($B29="","",SUBSTITUTE(INDEX('Données'!$G$2:$G$103,MATCH($B29,'Données'!$A$2:$A$103,0))&amp;"","¶",CHAR(10)))</f>
        <v/>
      </c>
      <c r="I29" s="4">
        <f>IF($B29="","",SUBSTITUTE(INDEX('Données'!$H$2:$H$103,MATCH($B29,'Données'!$A$2:$A$103,0))&amp;"","¶",CHAR(10)))</f>
        <v/>
      </c>
      <c r="J29" s="4">
        <f>IF($B29="","",SUBSTITUTE(INDEX('Données'!$I$2:$I$103,MATCH($B29,'Données'!$A$2:$A$103,0))&amp;"","¶",CHAR(10)))</f>
        <v/>
      </c>
      <c r="K29" s="4">
        <f>IF($B29="","",SUBSTITUTE(INDEX('Données'!$K$2:$K$103,MATCH($B29,'Données'!$A$2:$A$103,0))&amp;"","¶",CHAR(10)))</f>
        <v/>
      </c>
    </row>
    <row r="30">
      <c r="A30" s="4">
        <f>IF(B30="","",28)</f>
        <v/>
      </c>
      <c r="B30" s="2">
        <f>IFERROR(INDEX('Sélection'!$A$4:$A$105,MATCH(28,'Sélection'!$G$4:$G$105,0)),"")</f>
        <v/>
      </c>
      <c r="C30" s="2">
        <f>IF($B30="","",SUBSTITUTE(INDEX('Données'!$B$2:$B$103,MATCH($B30,'Données'!$A$2:$A$103,0))&amp;"","¶",CHAR(10)))</f>
        <v/>
      </c>
      <c r="D30" s="4">
        <f>IF($B30="","",SUBSTITUTE(INDEX('Données'!$C$2:$C$103,MATCH($B30,'Données'!$A$2:$A$103,0))&amp;"","¶",CHAR(10)))</f>
        <v/>
      </c>
      <c r="E30" s="4">
        <f>IF($B30="","",SUBSTITUTE(INDEX('Données'!$D$2:$D$103,MATCH($B30,'Données'!$A$2:$A$103,0))&amp;"","¶",CHAR(10)))</f>
        <v/>
      </c>
      <c r="F30" s="4">
        <f>IF($B30="","",SUBSTITUTE(INDEX('Données'!$E$2:$E$103,MATCH($B30,'Données'!$A$2:$A$103,0))&amp;"","¶",CHAR(10)))</f>
        <v/>
      </c>
      <c r="G30" s="4">
        <f>IF($B30="","",SUBSTITUTE(INDEX('Données'!$F$2:$F$103,MATCH($B30,'Données'!$A$2:$A$103,0))&amp;"","¶",CHAR(10)))</f>
        <v/>
      </c>
      <c r="H30" s="4">
        <f>IF($B30="","",SUBSTITUTE(INDEX('Données'!$G$2:$G$103,MATCH($B30,'Données'!$A$2:$A$103,0))&amp;"","¶",CHAR(10)))</f>
        <v/>
      </c>
      <c r="I30" s="4">
        <f>IF($B30="","",SUBSTITUTE(INDEX('Données'!$H$2:$H$103,MATCH($B30,'Données'!$A$2:$A$103,0))&amp;"","¶",CHAR(10)))</f>
        <v/>
      </c>
      <c r="J30" s="4">
        <f>IF($B30="","",SUBSTITUTE(INDEX('Données'!$I$2:$I$103,MATCH($B30,'Données'!$A$2:$A$103,0))&amp;"","¶",CHAR(10)))</f>
        <v/>
      </c>
      <c r="K30" s="4">
        <f>IF($B30="","",SUBSTITUTE(INDEX('Données'!$K$2:$K$103,MATCH($B30,'Données'!$A$2:$A$103,0))&amp;"","¶",CHAR(10)))</f>
        <v/>
      </c>
    </row>
    <row r="31">
      <c r="A31" s="4">
        <f>IF(B31="","",29)</f>
        <v/>
      </c>
      <c r="B31" s="2">
        <f>IFERROR(INDEX('Sélection'!$A$4:$A$105,MATCH(29,'Sélection'!$G$4:$G$105,0)),"")</f>
        <v/>
      </c>
      <c r="C31" s="2">
        <f>IF($B31="","",SUBSTITUTE(INDEX('Données'!$B$2:$B$103,MATCH($B31,'Données'!$A$2:$A$103,0))&amp;"","¶",CHAR(10)))</f>
        <v/>
      </c>
      <c r="D31" s="4">
        <f>IF($B31="","",SUBSTITUTE(INDEX('Données'!$C$2:$C$103,MATCH($B31,'Données'!$A$2:$A$103,0))&amp;"","¶",CHAR(10)))</f>
        <v/>
      </c>
      <c r="E31" s="4">
        <f>IF($B31="","",SUBSTITUTE(INDEX('Données'!$D$2:$D$103,MATCH($B31,'Données'!$A$2:$A$103,0))&amp;"","¶",CHAR(10)))</f>
        <v/>
      </c>
      <c r="F31" s="4">
        <f>IF($B31="","",SUBSTITUTE(INDEX('Données'!$E$2:$E$103,MATCH($B31,'Données'!$A$2:$A$103,0))&amp;"","¶",CHAR(10)))</f>
        <v/>
      </c>
      <c r="G31" s="4">
        <f>IF($B31="","",SUBSTITUTE(INDEX('Données'!$F$2:$F$103,MATCH($B31,'Données'!$A$2:$A$103,0))&amp;"","¶",CHAR(10)))</f>
        <v/>
      </c>
      <c r="H31" s="4">
        <f>IF($B31="","",SUBSTITUTE(INDEX('Données'!$G$2:$G$103,MATCH($B31,'Données'!$A$2:$A$103,0))&amp;"","¶",CHAR(10)))</f>
        <v/>
      </c>
      <c r="I31" s="4">
        <f>IF($B31="","",SUBSTITUTE(INDEX('Données'!$H$2:$H$103,MATCH($B31,'Données'!$A$2:$A$103,0))&amp;"","¶",CHAR(10)))</f>
        <v/>
      </c>
      <c r="J31" s="4">
        <f>IF($B31="","",SUBSTITUTE(INDEX('Données'!$I$2:$I$103,MATCH($B31,'Données'!$A$2:$A$103,0))&amp;"","¶",CHAR(10)))</f>
        <v/>
      </c>
      <c r="K31" s="4">
        <f>IF($B31="","",SUBSTITUTE(INDEX('Données'!$K$2:$K$103,MATCH($B31,'Données'!$A$2:$A$103,0))&amp;"","¶",CHAR(10)))</f>
        <v/>
      </c>
    </row>
    <row r="32">
      <c r="A32" s="4">
        <f>IF(B32="","",30)</f>
        <v/>
      </c>
      <c r="B32" s="2">
        <f>IFERROR(INDEX('Sélection'!$A$4:$A$105,MATCH(30,'Sélection'!$G$4:$G$105,0)),"")</f>
        <v/>
      </c>
      <c r="C32" s="2">
        <f>IF($B32="","",SUBSTITUTE(INDEX('Données'!$B$2:$B$103,MATCH($B32,'Données'!$A$2:$A$103,0))&amp;"","¶",CHAR(10)))</f>
        <v/>
      </c>
      <c r="D32" s="4">
        <f>IF($B32="","",SUBSTITUTE(INDEX('Données'!$C$2:$C$103,MATCH($B32,'Données'!$A$2:$A$103,0))&amp;"","¶",CHAR(10)))</f>
        <v/>
      </c>
      <c r="E32" s="4">
        <f>IF($B32="","",SUBSTITUTE(INDEX('Données'!$D$2:$D$103,MATCH($B32,'Données'!$A$2:$A$103,0))&amp;"","¶",CHAR(10)))</f>
        <v/>
      </c>
      <c r="F32" s="4">
        <f>IF($B32="","",SUBSTITUTE(INDEX('Données'!$E$2:$E$103,MATCH($B32,'Données'!$A$2:$A$103,0))&amp;"","¶",CHAR(10)))</f>
        <v/>
      </c>
      <c r="G32" s="4">
        <f>IF($B32="","",SUBSTITUTE(INDEX('Données'!$F$2:$F$103,MATCH($B32,'Données'!$A$2:$A$103,0))&amp;"","¶",CHAR(10)))</f>
        <v/>
      </c>
      <c r="H32" s="4">
        <f>IF($B32="","",SUBSTITUTE(INDEX('Données'!$G$2:$G$103,MATCH($B32,'Données'!$A$2:$A$103,0))&amp;"","¶",CHAR(10)))</f>
        <v/>
      </c>
      <c r="I32" s="4">
        <f>IF($B32="","",SUBSTITUTE(INDEX('Données'!$H$2:$H$103,MATCH($B32,'Données'!$A$2:$A$103,0))&amp;"","¶",CHAR(10)))</f>
        <v/>
      </c>
      <c r="J32" s="4">
        <f>IF($B32="","",SUBSTITUTE(INDEX('Données'!$I$2:$I$103,MATCH($B32,'Données'!$A$2:$A$103,0))&amp;"","¶",CHAR(10)))</f>
        <v/>
      </c>
      <c r="K32" s="4">
        <f>IF($B32="","",SUBSTITUTE(INDEX('Données'!$K$2:$K$103,MATCH($B32,'Données'!$A$2:$A$103,0))&amp;"","¶",CHAR(10)))</f>
        <v/>
      </c>
    </row>
    <row r="33">
      <c r="A33" s="4">
        <f>IF(B33="","",31)</f>
        <v/>
      </c>
      <c r="B33" s="2">
        <f>IFERROR(INDEX('Sélection'!$A$4:$A$105,MATCH(31,'Sélection'!$G$4:$G$105,0)),"")</f>
        <v/>
      </c>
      <c r="C33" s="2">
        <f>IF($B33="","",SUBSTITUTE(INDEX('Données'!$B$2:$B$103,MATCH($B33,'Données'!$A$2:$A$103,0))&amp;"","¶",CHAR(10)))</f>
        <v/>
      </c>
      <c r="D33" s="4">
        <f>IF($B33="","",SUBSTITUTE(INDEX('Données'!$C$2:$C$103,MATCH($B33,'Données'!$A$2:$A$103,0))&amp;"","¶",CHAR(10)))</f>
        <v/>
      </c>
      <c r="E33" s="4">
        <f>IF($B33="","",SUBSTITUTE(INDEX('Données'!$D$2:$D$103,MATCH($B33,'Données'!$A$2:$A$103,0))&amp;"","¶",CHAR(10)))</f>
        <v/>
      </c>
      <c r="F33" s="4">
        <f>IF($B33="","",SUBSTITUTE(INDEX('Données'!$E$2:$E$103,MATCH($B33,'Données'!$A$2:$A$103,0))&amp;"","¶",CHAR(10)))</f>
        <v/>
      </c>
      <c r="G33" s="4">
        <f>IF($B33="","",SUBSTITUTE(INDEX('Données'!$F$2:$F$103,MATCH($B33,'Données'!$A$2:$A$103,0))&amp;"","¶",CHAR(10)))</f>
        <v/>
      </c>
      <c r="H33" s="4">
        <f>IF($B33="","",SUBSTITUTE(INDEX('Données'!$G$2:$G$103,MATCH($B33,'Données'!$A$2:$A$103,0))&amp;"","¶",CHAR(10)))</f>
        <v/>
      </c>
      <c r="I33" s="4">
        <f>IF($B33="","",SUBSTITUTE(INDEX('Données'!$H$2:$H$103,MATCH($B33,'Données'!$A$2:$A$103,0))&amp;"","¶",CHAR(10)))</f>
        <v/>
      </c>
      <c r="J33" s="4">
        <f>IF($B33="","",SUBSTITUTE(INDEX('Données'!$I$2:$I$103,MATCH($B33,'Données'!$A$2:$A$103,0))&amp;"","¶",CHAR(10)))</f>
        <v/>
      </c>
      <c r="K33" s="4">
        <f>IF($B33="","",SUBSTITUTE(INDEX('Données'!$K$2:$K$103,MATCH($B33,'Données'!$A$2:$A$103,0))&amp;"","¶",CHAR(10)))</f>
        <v/>
      </c>
    </row>
    <row r="34">
      <c r="A34" s="4">
        <f>IF(B34="","",32)</f>
        <v/>
      </c>
      <c r="B34" s="2">
        <f>IFERROR(INDEX('Sélection'!$A$4:$A$105,MATCH(32,'Sélection'!$G$4:$G$105,0)),"")</f>
        <v/>
      </c>
      <c r="C34" s="2">
        <f>IF($B34="","",SUBSTITUTE(INDEX('Données'!$B$2:$B$103,MATCH($B34,'Données'!$A$2:$A$103,0))&amp;"","¶",CHAR(10)))</f>
        <v/>
      </c>
      <c r="D34" s="4">
        <f>IF($B34="","",SUBSTITUTE(INDEX('Données'!$C$2:$C$103,MATCH($B34,'Données'!$A$2:$A$103,0))&amp;"","¶",CHAR(10)))</f>
        <v/>
      </c>
      <c r="E34" s="4">
        <f>IF($B34="","",SUBSTITUTE(INDEX('Données'!$D$2:$D$103,MATCH($B34,'Données'!$A$2:$A$103,0))&amp;"","¶",CHAR(10)))</f>
        <v/>
      </c>
      <c r="F34" s="4">
        <f>IF($B34="","",SUBSTITUTE(INDEX('Données'!$E$2:$E$103,MATCH($B34,'Données'!$A$2:$A$103,0))&amp;"","¶",CHAR(10)))</f>
        <v/>
      </c>
      <c r="G34" s="4">
        <f>IF($B34="","",SUBSTITUTE(INDEX('Données'!$F$2:$F$103,MATCH($B34,'Données'!$A$2:$A$103,0))&amp;"","¶",CHAR(10)))</f>
        <v/>
      </c>
      <c r="H34" s="4">
        <f>IF($B34="","",SUBSTITUTE(INDEX('Données'!$G$2:$G$103,MATCH($B34,'Données'!$A$2:$A$103,0))&amp;"","¶",CHAR(10)))</f>
        <v/>
      </c>
      <c r="I34" s="4">
        <f>IF($B34="","",SUBSTITUTE(INDEX('Données'!$H$2:$H$103,MATCH($B34,'Données'!$A$2:$A$103,0))&amp;"","¶",CHAR(10)))</f>
        <v/>
      </c>
      <c r="J34" s="4">
        <f>IF($B34="","",SUBSTITUTE(INDEX('Données'!$I$2:$I$103,MATCH($B34,'Données'!$A$2:$A$103,0))&amp;"","¶",CHAR(10)))</f>
        <v/>
      </c>
      <c r="K34" s="4">
        <f>IF($B34="","",SUBSTITUTE(INDEX('Données'!$K$2:$K$103,MATCH($B34,'Données'!$A$2:$A$103,0))&amp;"","¶",CHAR(10)))</f>
        <v/>
      </c>
    </row>
    <row r="35">
      <c r="A35" s="4">
        <f>IF(B35="","",33)</f>
        <v/>
      </c>
      <c r="B35" s="2">
        <f>IFERROR(INDEX('Sélection'!$A$4:$A$105,MATCH(33,'Sélection'!$G$4:$G$105,0)),"")</f>
        <v/>
      </c>
      <c r="C35" s="2">
        <f>IF($B35="","",SUBSTITUTE(INDEX('Données'!$B$2:$B$103,MATCH($B35,'Données'!$A$2:$A$103,0))&amp;"","¶",CHAR(10)))</f>
        <v/>
      </c>
      <c r="D35" s="4">
        <f>IF($B35="","",SUBSTITUTE(INDEX('Données'!$C$2:$C$103,MATCH($B35,'Données'!$A$2:$A$103,0))&amp;"","¶",CHAR(10)))</f>
        <v/>
      </c>
      <c r="E35" s="4">
        <f>IF($B35="","",SUBSTITUTE(INDEX('Données'!$D$2:$D$103,MATCH($B35,'Données'!$A$2:$A$103,0))&amp;"","¶",CHAR(10)))</f>
        <v/>
      </c>
      <c r="F35" s="4">
        <f>IF($B35="","",SUBSTITUTE(INDEX('Données'!$E$2:$E$103,MATCH($B35,'Données'!$A$2:$A$103,0))&amp;"","¶",CHAR(10)))</f>
        <v/>
      </c>
      <c r="G35" s="4">
        <f>IF($B35="","",SUBSTITUTE(INDEX('Données'!$F$2:$F$103,MATCH($B35,'Données'!$A$2:$A$103,0))&amp;"","¶",CHAR(10)))</f>
        <v/>
      </c>
      <c r="H35" s="4">
        <f>IF($B35="","",SUBSTITUTE(INDEX('Données'!$G$2:$G$103,MATCH($B35,'Données'!$A$2:$A$103,0))&amp;"","¶",CHAR(10)))</f>
        <v/>
      </c>
      <c r="I35" s="4">
        <f>IF($B35="","",SUBSTITUTE(INDEX('Données'!$H$2:$H$103,MATCH($B35,'Données'!$A$2:$A$103,0))&amp;"","¶",CHAR(10)))</f>
        <v/>
      </c>
      <c r="J35" s="4">
        <f>IF($B35="","",SUBSTITUTE(INDEX('Données'!$I$2:$I$103,MATCH($B35,'Données'!$A$2:$A$103,0))&amp;"","¶",CHAR(10)))</f>
        <v/>
      </c>
      <c r="K35" s="4">
        <f>IF($B35="","",SUBSTITUTE(INDEX('Données'!$K$2:$K$103,MATCH($B35,'Données'!$A$2:$A$103,0))&amp;"","¶",CHAR(10)))</f>
        <v/>
      </c>
    </row>
    <row r="36">
      <c r="A36" s="4">
        <f>IF(B36="","",34)</f>
        <v/>
      </c>
      <c r="B36" s="2">
        <f>IFERROR(INDEX('Sélection'!$A$4:$A$105,MATCH(34,'Sélection'!$G$4:$G$105,0)),"")</f>
        <v/>
      </c>
      <c r="C36" s="2">
        <f>IF($B36="","",SUBSTITUTE(INDEX('Données'!$B$2:$B$103,MATCH($B36,'Données'!$A$2:$A$103,0))&amp;"","¶",CHAR(10)))</f>
        <v/>
      </c>
      <c r="D36" s="4">
        <f>IF($B36="","",SUBSTITUTE(INDEX('Données'!$C$2:$C$103,MATCH($B36,'Données'!$A$2:$A$103,0))&amp;"","¶",CHAR(10)))</f>
        <v/>
      </c>
      <c r="E36" s="4">
        <f>IF($B36="","",SUBSTITUTE(INDEX('Données'!$D$2:$D$103,MATCH($B36,'Données'!$A$2:$A$103,0))&amp;"","¶",CHAR(10)))</f>
        <v/>
      </c>
      <c r="F36" s="4">
        <f>IF($B36="","",SUBSTITUTE(INDEX('Données'!$E$2:$E$103,MATCH($B36,'Données'!$A$2:$A$103,0))&amp;"","¶",CHAR(10)))</f>
        <v/>
      </c>
      <c r="G36" s="4">
        <f>IF($B36="","",SUBSTITUTE(INDEX('Données'!$F$2:$F$103,MATCH($B36,'Données'!$A$2:$A$103,0))&amp;"","¶",CHAR(10)))</f>
        <v/>
      </c>
      <c r="H36" s="4">
        <f>IF($B36="","",SUBSTITUTE(INDEX('Données'!$G$2:$G$103,MATCH($B36,'Données'!$A$2:$A$103,0))&amp;"","¶",CHAR(10)))</f>
        <v/>
      </c>
      <c r="I36" s="4">
        <f>IF($B36="","",SUBSTITUTE(INDEX('Données'!$H$2:$H$103,MATCH($B36,'Données'!$A$2:$A$103,0))&amp;"","¶",CHAR(10)))</f>
        <v/>
      </c>
      <c r="J36" s="4">
        <f>IF($B36="","",SUBSTITUTE(INDEX('Données'!$I$2:$I$103,MATCH($B36,'Données'!$A$2:$A$103,0))&amp;"","¶",CHAR(10)))</f>
        <v/>
      </c>
      <c r="K36" s="4">
        <f>IF($B36="","",SUBSTITUTE(INDEX('Données'!$K$2:$K$103,MATCH($B36,'Données'!$A$2:$A$103,0))&amp;"","¶",CHAR(10)))</f>
        <v/>
      </c>
    </row>
    <row r="37">
      <c r="A37" s="4">
        <f>IF(B37="","",35)</f>
        <v/>
      </c>
      <c r="B37" s="2">
        <f>IFERROR(INDEX('Sélection'!$A$4:$A$105,MATCH(35,'Sélection'!$G$4:$G$105,0)),"")</f>
        <v/>
      </c>
      <c r="C37" s="2">
        <f>IF($B37="","",SUBSTITUTE(INDEX('Données'!$B$2:$B$103,MATCH($B37,'Données'!$A$2:$A$103,0))&amp;"","¶",CHAR(10)))</f>
        <v/>
      </c>
      <c r="D37" s="4">
        <f>IF($B37="","",SUBSTITUTE(INDEX('Données'!$C$2:$C$103,MATCH($B37,'Données'!$A$2:$A$103,0))&amp;"","¶",CHAR(10)))</f>
        <v/>
      </c>
      <c r="E37" s="4">
        <f>IF($B37="","",SUBSTITUTE(INDEX('Données'!$D$2:$D$103,MATCH($B37,'Données'!$A$2:$A$103,0))&amp;"","¶",CHAR(10)))</f>
        <v/>
      </c>
      <c r="F37" s="4">
        <f>IF($B37="","",SUBSTITUTE(INDEX('Données'!$E$2:$E$103,MATCH($B37,'Données'!$A$2:$A$103,0))&amp;"","¶",CHAR(10)))</f>
        <v/>
      </c>
      <c r="G37" s="4">
        <f>IF($B37="","",SUBSTITUTE(INDEX('Données'!$F$2:$F$103,MATCH($B37,'Données'!$A$2:$A$103,0))&amp;"","¶",CHAR(10)))</f>
        <v/>
      </c>
      <c r="H37" s="4">
        <f>IF($B37="","",SUBSTITUTE(INDEX('Données'!$G$2:$G$103,MATCH($B37,'Données'!$A$2:$A$103,0))&amp;"","¶",CHAR(10)))</f>
        <v/>
      </c>
      <c r="I37" s="4">
        <f>IF($B37="","",SUBSTITUTE(INDEX('Données'!$H$2:$H$103,MATCH($B37,'Données'!$A$2:$A$103,0))&amp;"","¶",CHAR(10)))</f>
        <v/>
      </c>
      <c r="J37" s="4">
        <f>IF($B37="","",SUBSTITUTE(INDEX('Données'!$I$2:$I$103,MATCH($B37,'Données'!$A$2:$A$103,0))&amp;"","¶",CHAR(10)))</f>
        <v/>
      </c>
      <c r="K37" s="4">
        <f>IF($B37="","",SUBSTITUTE(INDEX('Données'!$K$2:$K$103,MATCH($B37,'Données'!$A$2:$A$103,0))&amp;"","¶",CHAR(10)))</f>
        <v/>
      </c>
    </row>
    <row r="38">
      <c r="A38" s="4">
        <f>IF(B38="","",36)</f>
        <v/>
      </c>
      <c r="B38" s="2">
        <f>IFERROR(INDEX('Sélection'!$A$4:$A$105,MATCH(36,'Sélection'!$G$4:$G$105,0)),"")</f>
        <v/>
      </c>
      <c r="C38" s="2">
        <f>IF($B38="","",SUBSTITUTE(INDEX('Données'!$B$2:$B$103,MATCH($B38,'Données'!$A$2:$A$103,0))&amp;"","¶",CHAR(10)))</f>
        <v/>
      </c>
      <c r="D38" s="4">
        <f>IF($B38="","",SUBSTITUTE(INDEX('Données'!$C$2:$C$103,MATCH($B38,'Données'!$A$2:$A$103,0))&amp;"","¶",CHAR(10)))</f>
        <v/>
      </c>
      <c r="E38" s="4">
        <f>IF($B38="","",SUBSTITUTE(INDEX('Données'!$D$2:$D$103,MATCH($B38,'Données'!$A$2:$A$103,0))&amp;"","¶",CHAR(10)))</f>
        <v/>
      </c>
      <c r="F38" s="4">
        <f>IF($B38="","",SUBSTITUTE(INDEX('Données'!$E$2:$E$103,MATCH($B38,'Données'!$A$2:$A$103,0))&amp;"","¶",CHAR(10)))</f>
        <v/>
      </c>
      <c r="G38" s="4">
        <f>IF($B38="","",SUBSTITUTE(INDEX('Données'!$F$2:$F$103,MATCH($B38,'Données'!$A$2:$A$103,0))&amp;"","¶",CHAR(10)))</f>
        <v/>
      </c>
      <c r="H38" s="4">
        <f>IF($B38="","",SUBSTITUTE(INDEX('Données'!$G$2:$G$103,MATCH($B38,'Données'!$A$2:$A$103,0))&amp;"","¶",CHAR(10)))</f>
        <v/>
      </c>
      <c r="I38" s="4">
        <f>IF($B38="","",SUBSTITUTE(INDEX('Données'!$H$2:$H$103,MATCH($B38,'Données'!$A$2:$A$103,0))&amp;"","¶",CHAR(10)))</f>
        <v/>
      </c>
      <c r="J38" s="4">
        <f>IF($B38="","",SUBSTITUTE(INDEX('Données'!$I$2:$I$103,MATCH($B38,'Données'!$A$2:$A$103,0))&amp;"","¶",CHAR(10)))</f>
        <v/>
      </c>
      <c r="K38" s="4">
        <f>IF($B38="","",SUBSTITUTE(INDEX('Données'!$K$2:$K$103,MATCH($B38,'Données'!$A$2:$A$103,0))&amp;"","¶",CHAR(10)))</f>
        <v/>
      </c>
    </row>
    <row r="39">
      <c r="A39" s="4">
        <f>IF(B39="","",37)</f>
        <v/>
      </c>
      <c r="B39" s="2">
        <f>IFERROR(INDEX('Sélection'!$A$4:$A$105,MATCH(37,'Sélection'!$G$4:$G$105,0)),"")</f>
        <v/>
      </c>
      <c r="C39" s="2">
        <f>IF($B39="","",SUBSTITUTE(INDEX('Données'!$B$2:$B$103,MATCH($B39,'Données'!$A$2:$A$103,0))&amp;"","¶",CHAR(10)))</f>
        <v/>
      </c>
      <c r="D39" s="4">
        <f>IF($B39="","",SUBSTITUTE(INDEX('Données'!$C$2:$C$103,MATCH($B39,'Données'!$A$2:$A$103,0))&amp;"","¶",CHAR(10)))</f>
        <v/>
      </c>
      <c r="E39" s="4">
        <f>IF($B39="","",SUBSTITUTE(INDEX('Données'!$D$2:$D$103,MATCH($B39,'Données'!$A$2:$A$103,0))&amp;"","¶",CHAR(10)))</f>
        <v/>
      </c>
      <c r="F39" s="4">
        <f>IF($B39="","",SUBSTITUTE(INDEX('Données'!$E$2:$E$103,MATCH($B39,'Données'!$A$2:$A$103,0))&amp;"","¶",CHAR(10)))</f>
        <v/>
      </c>
      <c r="G39" s="4">
        <f>IF($B39="","",SUBSTITUTE(INDEX('Données'!$F$2:$F$103,MATCH($B39,'Données'!$A$2:$A$103,0))&amp;"","¶",CHAR(10)))</f>
        <v/>
      </c>
      <c r="H39" s="4">
        <f>IF($B39="","",SUBSTITUTE(INDEX('Données'!$G$2:$G$103,MATCH($B39,'Données'!$A$2:$A$103,0))&amp;"","¶",CHAR(10)))</f>
        <v/>
      </c>
      <c r="I39" s="4">
        <f>IF($B39="","",SUBSTITUTE(INDEX('Données'!$H$2:$H$103,MATCH($B39,'Données'!$A$2:$A$103,0))&amp;"","¶",CHAR(10)))</f>
        <v/>
      </c>
      <c r="J39" s="4">
        <f>IF($B39="","",SUBSTITUTE(INDEX('Données'!$I$2:$I$103,MATCH($B39,'Données'!$A$2:$A$103,0))&amp;"","¶",CHAR(10)))</f>
        <v/>
      </c>
      <c r="K39" s="4">
        <f>IF($B39="","",SUBSTITUTE(INDEX('Données'!$K$2:$K$103,MATCH($B39,'Données'!$A$2:$A$103,0))&amp;"","¶",CHAR(10)))</f>
        <v/>
      </c>
    </row>
    <row r="40">
      <c r="A40" s="4">
        <f>IF(B40="","",38)</f>
        <v/>
      </c>
      <c r="B40" s="2">
        <f>IFERROR(INDEX('Sélection'!$A$4:$A$105,MATCH(38,'Sélection'!$G$4:$G$105,0)),"")</f>
        <v/>
      </c>
      <c r="C40" s="2">
        <f>IF($B40="","",SUBSTITUTE(INDEX('Données'!$B$2:$B$103,MATCH($B40,'Données'!$A$2:$A$103,0))&amp;"","¶",CHAR(10)))</f>
        <v/>
      </c>
      <c r="D40" s="4">
        <f>IF($B40="","",SUBSTITUTE(INDEX('Données'!$C$2:$C$103,MATCH($B40,'Données'!$A$2:$A$103,0))&amp;"","¶",CHAR(10)))</f>
        <v/>
      </c>
      <c r="E40" s="4">
        <f>IF($B40="","",SUBSTITUTE(INDEX('Données'!$D$2:$D$103,MATCH($B40,'Données'!$A$2:$A$103,0))&amp;"","¶",CHAR(10)))</f>
        <v/>
      </c>
      <c r="F40" s="4">
        <f>IF($B40="","",SUBSTITUTE(INDEX('Données'!$E$2:$E$103,MATCH($B40,'Données'!$A$2:$A$103,0))&amp;"","¶",CHAR(10)))</f>
        <v/>
      </c>
      <c r="G40" s="4">
        <f>IF($B40="","",SUBSTITUTE(INDEX('Données'!$F$2:$F$103,MATCH($B40,'Données'!$A$2:$A$103,0))&amp;"","¶",CHAR(10)))</f>
        <v/>
      </c>
      <c r="H40" s="4">
        <f>IF($B40="","",SUBSTITUTE(INDEX('Données'!$G$2:$G$103,MATCH($B40,'Données'!$A$2:$A$103,0))&amp;"","¶",CHAR(10)))</f>
        <v/>
      </c>
      <c r="I40" s="4">
        <f>IF($B40="","",SUBSTITUTE(INDEX('Données'!$H$2:$H$103,MATCH($B40,'Données'!$A$2:$A$103,0))&amp;"","¶",CHAR(10)))</f>
        <v/>
      </c>
      <c r="J40" s="4">
        <f>IF($B40="","",SUBSTITUTE(INDEX('Données'!$I$2:$I$103,MATCH($B40,'Données'!$A$2:$A$103,0))&amp;"","¶",CHAR(10)))</f>
        <v/>
      </c>
      <c r="K40" s="4">
        <f>IF($B40="","",SUBSTITUTE(INDEX('Données'!$K$2:$K$103,MATCH($B40,'Données'!$A$2:$A$103,0))&amp;"","¶",CHAR(10)))</f>
        <v/>
      </c>
    </row>
    <row r="41">
      <c r="A41" s="4">
        <f>IF(B41="","",39)</f>
        <v/>
      </c>
      <c r="B41" s="2">
        <f>IFERROR(INDEX('Sélection'!$A$4:$A$105,MATCH(39,'Sélection'!$G$4:$G$105,0)),"")</f>
        <v/>
      </c>
      <c r="C41" s="2">
        <f>IF($B41="","",SUBSTITUTE(INDEX('Données'!$B$2:$B$103,MATCH($B41,'Données'!$A$2:$A$103,0))&amp;"","¶",CHAR(10)))</f>
        <v/>
      </c>
      <c r="D41" s="4">
        <f>IF($B41="","",SUBSTITUTE(INDEX('Données'!$C$2:$C$103,MATCH($B41,'Données'!$A$2:$A$103,0))&amp;"","¶",CHAR(10)))</f>
        <v/>
      </c>
      <c r="E41" s="4">
        <f>IF($B41="","",SUBSTITUTE(INDEX('Données'!$D$2:$D$103,MATCH($B41,'Données'!$A$2:$A$103,0))&amp;"","¶",CHAR(10)))</f>
        <v/>
      </c>
      <c r="F41" s="4">
        <f>IF($B41="","",SUBSTITUTE(INDEX('Données'!$E$2:$E$103,MATCH($B41,'Données'!$A$2:$A$103,0))&amp;"","¶",CHAR(10)))</f>
        <v/>
      </c>
      <c r="G41" s="4">
        <f>IF($B41="","",SUBSTITUTE(INDEX('Données'!$F$2:$F$103,MATCH($B41,'Données'!$A$2:$A$103,0))&amp;"","¶",CHAR(10)))</f>
        <v/>
      </c>
      <c r="H41" s="4">
        <f>IF($B41="","",SUBSTITUTE(INDEX('Données'!$G$2:$G$103,MATCH($B41,'Données'!$A$2:$A$103,0))&amp;"","¶",CHAR(10)))</f>
        <v/>
      </c>
      <c r="I41" s="4">
        <f>IF($B41="","",SUBSTITUTE(INDEX('Données'!$H$2:$H$103,MATCH($B41,'Données'!$A$2:$A$103,0))&amp;"","¶",CHAR(10)))</f>
        <v/>
      </c>
      <c r="J41" s="4">
        <f>IF($B41="","",SUBSTITUTE(INDEX('Données'!$I$2:$I$103,MATCH($B41,'Données'!$A$2:$A$103,0))&amp;"","¶",CHAR(10)))</f>
        <v/>
      </c>
      <c r="K41" s="4">
        <f>IF($B41="","",SUBSTITUTE(INDEX('Données'!$K$2:$K$103,MATCH($B41,'Données'!$A$2:$A$103,0))&amp;"","¶",CHAR(10)))</f>
        <v/>
      </c>
    </row>
    <row r="42">
      <c r="A42" s="4">
        <f>IF(B42="","",40)</f>
        <v/>
      </c>
      <c r="B42" s="2">
        <f>IFERROR(INDEX('Sélection'!$A$4:$A$105,MATCH(40,'Sélection'!$G$4:$G$105,0)),"")</f>
        <v/>
      </c>
      <c r="C42" s="2">
        <f>IF($B42="","",SUBSTITUTE(INDEX('Données'!$B$2:$B$103,MATCH($B42,'Données'!$A$2:$A$103,0))&amp;"","¶",CHAR(10)))</f>
        <v/>
      </c>
      <c r="D42" s="4">
        <f>IF($B42="","",SUBSTITUTE(INDEX('Données'!$C$2:$C$103,MATCH($B42,'Données'!$A$2:$A$103,0))&amp;"","¶",CHAR(10)))</f>
        <v/>
      </c>
      <c r="E42" s="4">
        <f>IF($B42="","",SUBSTITUTE(INDEX('Données'!$D$2:$D$103,MATCH($B42,'Données'!$A$2:$A$103,0))&amp;"","¶",CHAR(10)))</f>
        <v/>
      </c>
      <c r="F42" s="4">
        <f>IF($B42="","",SUBSTITUTE(INDEX('Données'!$E$2:$E$103,MATCH($B42,'Données'!$A$2:$A$103,0))&amp;"","¶",CHAR(10)))</f>
        <v/>
      </c>
      <c r="G42" s="4">
        <f>IF($B42="","",SUBSTITUTE(INDEX('Données'!$F$2:$F$103,MATCH($B42,'Données'!$A$2:$A$103,0))&amp;"","¶",CHAR(10)))</f>
        <v/>
      </c>
      <c r="H42" s="4">
        <f>IF($B42="","",SUBSTITUTE(INDEX('Données'!$G$2:$G$103,MATCH($B42,'Données'!$A$2:$A$103,0))&amp;"","¶",CHAR(10)))</f>
        <v/>
      </c>
      <c r="I42" s="4">
        <f>IF($B42="","",SUBSTITUTE(INDEX('Données'!$H$2:$H$103,MATCH($B42,'Données'!$A$2:$A$103,0))&amp;"","¶",CHAR(10)))</f>
        <v/>
      </c>
      <c r="J42" s="4">
        <f>IF($B42="","",SUBSTITUTE(INDEX('Données'!$I$2:$I$103,MATCH($B42,'Données'!$A$2:$A$103,0))&amp;"","¶",CHAR(10)))</f>
        <v/>
      </c>
      <c r="K42" s="4">
        <f>IF($B42="","",SUBSTITUTE(INDEX('Données'!$K$2:$K$103,MATCH($B42,'Données'!$A$2:$A$103,0))&amp;"","¶",CHAR(10)))</f>
        <v/>
      </c>
    </row>
    <row r="43">
      <c r="A43" s="4">
        <f>IF(B43="","",41)</f>
        <v/>
      </c>
      <c r="B43" s="2">
        <f>IFERROR(INDEX('Sélection'!$A$4:$A$105,MATCH(41,'Sélection'!$G$4:$G$105,0)),"")</f>
        <v/>
      </c>
      <c r="C43" s="2">
        <f>IF($B43="","",SUBSTITUTE(INDEX('Données'!$B$2:$B$103,MATCH($B43,'Données'!$A$2:$A$103,0))&amp;"","¶",CHAR(10)))</f>
        <v/>
      </c>
      <c r="D43" s="4">
        <f>IF($B43="","",SUBSTITUTE(INDEX('Données'!$C$2:$C$103,MATCH($B43,'Données'!$A$2:$A$103,0))&amp;"","¶",CHAR(10)))</f>
        <v/>
      </c>
      <c r="E43" s="4">
        <f>IF($B43="","",SUBSTITUTE(INDEX('Données'!$D$2:$D$103,MATCH($B43,'Données'!$A$2:$A$103,0))&amp;"","¶",CHAR(10)))</f>
        <v/>
      </c>
      <c r="F43" s="4">
        <f>IF($B43="","",SUBSTITUTE(INDEX('Données'!$E$2:$E$103,MATCH($B43,'Données'!$A$2:$A$103,0))&amp;"","¶",CHAR(10)))</f>
        <v/>
      </c>
      <c r="G43" s="4">
        <f>IF($B43="","",SUBSTITUTE(INDEX('Données'!$F$2:$F$103,MATCH($B43,'Données'!$A$2:$A$103,0))&amp;"","¶",CHAR(10)))</f>
        <v/>
      </c>
      <c r="H43" s="4">
        <f>IF($B43="","",SUBSTITUTE(INDEX('Données'!$G$2:$G$103,MATCH($B43,'Données'!$A$2:$A$103,0))&amp;"","¶",CHAR(10)))</f>
        <v/>
      </c>
      <c r="I43" s="4">
        <f>IF($B43="","",SUBSTITUTE(INDEX('Données'!$H$2:$H$103,MATCH($B43,'Données'!$A$2:$A$103,0))&amp;"","¶",CHAR(10)))</f>
        <v/>
      </c>
      <c r="J43" s="4">
        <f>IF($B43="","",SUBSTITUTE(INDEX('Données'!$I$2:$I$103,MATCH($B43,'Données'!$A$2:$A$103,0))&amp;"","¶",CHAR(10)))</f>
        <v/>
      </c>
      <c r="K43" s="4">
        <f>IF($B43="","",SUBSTITUTE(INDEX('Données'!$K$2:$K$103,MATCH($B43,'Données'!$A$2:$A$103,0))&amp;"","¶",CHAR(10)))</f>
        <v/>
      </c>
    </row>
    <row r="44">
      <c r="A44" s="4">
        <f>IF(B44="","",42)</f>
        <v/>
      </c>
      <c r="B44" s="2">
        <f>IFERROR(INDEX('Sélection'!$A$4:$A$105,MATCH(42,'Sélection'!$G$4:$G$105,0)),"")</f>
        <v/>
      </c>
      <c r="C44" s="2">
        <f>IF($B44="","",SUBSTITUTE(INDEX('Données'!$B$2:$B$103,MATCH($B44,'Données'!$A$2:$A$103,0))&amp;"","¶",CHAR(10)))</f>
        <v/>
      </c>
      <c r="D44" s="4">
        <f>IF($B44="","",SUBSTITUTE(INDEX('Données'!$C$2:$C$103,MATCH($B44,'Données'!$A$2:$A$103,0))&amp;"","¶",CHAR(10)))</f>
        <v/>
      </c>
      <c r="E44" s="4">
        <f>IF($B44="","",SUBSTITUTE(INDEX('Données'!$D$2:$D$103,MATCH($B44,'Données'!$A$2:$A$103,0))&amp;"","¶",CHAR(10)))</f>
        <v/>
      </c>
      <c r="F44" s="4">
        <f>IF($B44="","",SUBSTITUTE(INDEX('Données'!$E$2:$E$103,MATCH($B44,'Données'!$A$2:$A$103,0))&amp;"","¶",CHAR(10)))</f>
        <v/>
      </c>
      <c r="G44" s="4">
        <f>IF($B44="","",SUBSTITUTE(INDEX('Données'!$F$2:$F$103,MATCH($B44,'Données'!$A$2:$A$103,0))&amp;"","¶",CHAR(10)))</f>
        <v/>
      </c>
      <c r="H44" s="4">
        <f>IF($B44="","",SUBSTITUTE(INDEX('Données'!$G$2:$G$103,MATCH($B44,'Données'!$A$2:$A$103,0))&amp;"","¶",CHAR(10)))</f>
        <v/>
      </c>
      <c r="I44" s="4">
        <f>IF($B44="","",SUBSTITUTE(INDEX('Données'!$H$2:$H$103,MATCH($B44,'Données'!$A$2:$A$103,0))&amp;"","¶",CHAR(10)))</f>
        <v/>
      </c>
      <c r="J44" s="4">
        <f>IF($B44="","",SUBSTITUTE(INDEX('Données'!$I$2:$I$103,MATCH($B44,'Données'!$A$2:$A$103,0))&amp;"","¶",CHAR(10)))</f>
        <v/>
      </c>
      <c r="K44" s="4">
        <f>IF($B44="","",SUBSTITUTE(INDEX('Données'!$K$2:$K$103,MATCH($B44,'Données'!$A$2:$A$103,0))&amp;"","¶",CHAR(10)))</f>
        <v/>
      </c>
    </row>
    <row r="45">
      <c r="A45" s="4">
        <f>IF(B45="","",43)</f>
        <v/>
      </c>
      <c r="B45" s="2">
        <f>IFERROR(INDEX('Sélection'!$A$4:$A$105,MATCH(43,'Sélection'!$G$4:$G$105,0)),"")</f>
        <v/>
      </c>
      <c r="C45" s="2">
        <f>IF($B45="","",SUBSTITUTE(INDEX('Données'!$B$2:$B$103,MATCH($B45,'Données'!$A$2:$A$103,0))&amp;"","¶",CHAR(10)))</f>
        <v/>
      </c>
      <c r="D45" s="4">
        <f>IF($B45="","",SUBSTITUTE(INDEX('Données'!$C$2:$C$103,MATCH($B45,'Données'!$A$2:$A$103,0))&amp;"","¶",CHAR(10)))</f>
        <v/>
      </c>
      <c r="E45" s="4">
        <f>IF($B45="","",SUBSTITUTE(INDEX('Données'!$D$2:$D$103,MATCH($B45,'Données'!$A$2:$A$103,0))&amp;"","¶",CHAR(10)))</f>
        <v/>
      </c>
      <c r="F45" s="4">
        <f>IF($B45="","",SUBSTITUTE(INDEX('Données'!$E$2:$E$103,MATCH($B45,'Données'!$A$2:$A$103,0))&amp;"","¶",CHAR(10)))</f>
        <v/>
      </c>
      <c r="G45" s="4">
        <f>IF($B45="","",SUBSTITUTE(INDEX('Données'!$F$2:$F$103,MATCH($B45,'Données'!$A$2:$A$103,0))&amp;"","¶",CHAR(10)))</f>
        <v/>
      </c>
      <c r="H45" s="4">
        <f>IF($B45="","",SUBSTITUTE(INDEX('Données'!$G$2:$G$103,MATCH($B45,'Données'!$A$2:$A$103,0))&amp;"","¶",CHAR(10)))</f>
        <v/>
      </c>
      <c r="I45" s="4">
        <f>IF($B45="","",SUBSTITUTE(INDEX('Données'!$H$2:$H$103,MATCH($B45,'Données'!$A$2:$A$103,0))&amp;"","¶",CHAR(10)))</f>
        <v/>
      </c>
      <c r="J45" s="4">
        <f>IF($B45="","",SUBSTITUTE(INDEX('Données'!$I$2:$I$103,MATCH($B45,'Données'!$A$2:$A$103,0))&amp;"","¶",CHAR(10)))</f>
        <v/>
      </c>
      <c r="K45" s="4">
        <f>IF($B45="","",SUBSTITUTE(INDEX('Données'!$K$2:$K$103,MATCH($B45,'Données'!$A$2:$A$103,0))&amp;"","¶",CHAR(10)))</f>
        <v/>
      </c>
    </row>
    <row r="46">
      <c r="A46" s="4">
        <f>IF(B46="","",44)</f>
        <v/>
      </c>
      <c r="B46" s="2">
        <f>IFERROR(INDEX('Sélection'!$A$4:$A$105,MATCH(44,'Sélection'!$G$4:$G$105,0)),"")</f>
        <v/>
      </c>
      <c r="C46" s="2">
        <f>IF($B46="","",SUBSTITUTE(INDEX('Données'!$B$2:$B$103,MATCH($B46,'Données'!$A$2:$A$103,0))&amp;"","¶",CHAR(10)))</f>
        <v/>
      </c>
      <c r="D46" s="4">
        <f>IF($B46="","",SUBSTITUTE(INDEX('Données'!$C$2:$C$103,MATCH($B46,'Données'!$A$2:$A$103,0))&amp;"","¶",CHAR(10)))</f>
        <v/>
      </c>
      <c r="E46" s="4">
        <f>IF($B46="","",SUBSTITUTE(INDEX('Données'!$D$2:$D$103,MATCH($B46,'Données'!$A$2:$A$103,0))&amp;"","¶",CHAR(10)))</f>
        <v/>
      </c>
      <c r="F46" s="4">
        <f>IF($B46="","",SUBSTITUTE(INDEX('Données'!$E$2:$E$103,MATCH($B46,'Données'!$A$2:$A$103,0))&amp;"","¶",CHAR(10)))</f>
        <v/>
      </c>
      <c r="G46" s="4">
        <f>IF($B46="","",SUBSTITUTE(INDEX('Données'!$F$2:$F$103,MATCH($B46,'Données'!$A$2:$A$103,0))&amp;"","¶",CHAR(10)))</f>
        <v/>
      </c>
      <c r="H46" s="4">
        <f>IF($B46="","",SUBSTITUTE(INDEX('Données'!$G$2:$G$103,MATCH($B46,'Données'!$A$2:$A$103,0))&amp;"","¶",CHAR(10)))</f>
        <v/>
      </c>
      <c r="I46" s="4">
        <f>IF($B46="","",SUBSTITUTE(INDEX('Données'!$H$2:$H$103,MATCH($B46,'Données'!$A$2:$A$103,0))&amp;"","¶",CHAR(10)))</f>
        <v/>
      </c>
      <c r="J46" s="4">
        <f>IF($B46="","",SUBSTITUTE(INDEX('Données'!$I$2:$I$103,MATCH($B46,'Données'!$A$2:$A$103,0))&amp;"","¶",CHAR(10)))</f>
        <v/>
      </c>
      <c r="K46" s="4">
        <f>IF($B46="","",SUBSTITUTE(INDEX('Données'!$K$2:$K$103,MATCH($B46,'Données'!$A$2:$A$103,0))&amp;"","¶",CHAR(10)))</f>
        <v/>
      </c>
    </row>
    <row r="47">
      <c r="A47" s="4">
        <f>IF(B47="","",45)</f>
        <v/>
      </c>
      <c r="B47" s="2">
        <f>IFERROR(INDEX('Sélection'!$A$4:$A$105,MATCH(45,'Sélection'!$G$4:$G$105,0)),"")</f>
        <v/>
      </c>
      <c r="C47" s="2">
        <f>IF($B47="","",SUBSTITUTE(INDEX('Données'!$B$2:$B$103,MATCH($B47,'Données'!$A$2:$A$103,0))&amp;"","¶",CHAR(10)))</f>
        <v/>
      </c>
      <c r="D47" s="4">
        <f>IF($B47="","",SUBSTITUTE(INDEX('Données'!$C$2:$C$103,MATCH($B47,'Données'!$A$2:$A$103,0))&amp;"","¶",CHAR(10)))</f>
        <v/>
      </c>
      <c r="E47" s="4">
        <f>IF($B47="","",SUBSTITUTE(INDEX('Données'!$D$2:$D$103,MATCH($B47,'Données'!$A$2:$A$103,0))&amp;"","¶",CHAR(10)))</f>
        <v/>
      </c>
      <c r="F47" s="4">
        <f>IF($B47="","",SUBSTITUTE(INDEX('Données'!$E$2:$E$103,MATCH($B47,'Données'!$A$2:$A$103,0))&amp;"","¶",CHAR(10)))</f>
        <v/>
      </c>
      <c r="G47" s="4">
        <f>IF($B47="","",SUBSTITUTE(INDEX('Données'!$F$2:$F$103,MATCH($B47,'Données'!$A$2:$A$103,0))&amp;"","¶",CHAR(10)))</f>
        <v/>
      </c>
      <c r="H47" s="4">
        <f>IF($B47="","",SUBSTITUTE(INDEX('Données'!$G$2:$G$103,MATCH($B47,'Données'!$A$2:$A$103,0))&amp;"","¶",CHAR(10)))</f>
        <v/>
      </c>
      <c r="I47" s="4">
        <f>IF($B47="","",SUBSTITUTE(INDEX('Données'!$H$2:$H$103,MATCH($B47,'Données'!$A$2:$A$103,0))&amp;"","¶",CHAR(10)))</f>
        <v/>
      </c>
      <c r="J47" s="4">
        <f>IF($B47="","",SUBSTITUTE(INDEX('Données'!$I$2:$I$103,MATCH($B47,'Données'!$A$2:$A$103,0))&amp;"","¶",CHAR(10)))</f>
        <v/>
      </c>
      <c r="K47" s="4">
        <f>IF($B47="","",SUBSTITUTE(INDEX('Données'!$K$2:$K$103,MATCH($B47,'Données'!$A$2:$A$103,0))&amp;"","¶",CHAR(10)))</f>
        <v/>
      </c>
    </row>
    <row r="48">
      <c r="A48" s="4">
        <f>IF(B48="","",46)</f>
        <v/>
      </c>
      <c r="B48" s="2">
        <f>IFERROR(INDEX('Sélection'!$A$4:$A$105,MATCH(46,'Sélection'!$G$4:$G$105,0)),"")</f>
        <v/>
      </c>
      <c r="C48" s="2">
        <f>IF($B48="","",SUBSTITUTE(INDEX('Données'!$B$2:$B$103,MATCH($B48,'Données'!$A$2:$A$103,0))&amp;"","¶",CHAR(10)))</f>
        <v/>
      </c>
      <c r="D48" s="4">
        <f>IF($B48="","",SUBSTITUTE(INDEX('Données'!$C$2:$C$103,MATCH($B48,'Données'!$A$2:$A$103,0))&amp;"","¶",CHAR(10)))</f>
        <v/>
      </c>
      <c r="E48" s="4">
        <f>IF($B48="","",SUBSTITUTE(INDEX('Données'!$D$2:$D$103,MATCH($B48,'Données'!$A$2:$A$103,0))&amp;"","¶",CHAR(10)))</f>
        <v/>
      </c>
      <c r="F48" s="4">
        <f>IF($B48="","",SUBSTITUTE(INDEX('Données'!$E$2:$E$103,MATCH($B48,'Données'!$A$2:$A$103,0))&amp;"","¶",CHAR(10)))</f>
        <v/>
      </c>
      <c r="G48" s="4">
        <f>IF($B48="","",SUBSTITUTE(INDEX('Données'!$F$2:$F$103,MATCH($B48,'Données'!$A$2:$A$103,0))&amp;"","¶",CHAR(10)))</f>
        <v/>
      </c>
      <c r="H48" s="4">
        <f>IF($B48="","",SUBSTITUTE(INDEX('Données'!$G$2:$G$103,MATCH($B48,'Données'!$A$2:$A$103,0))&amp;"","¶",CHAR(10)))</f>
        <v/>
      </c>
      <c r="I48" s="4">
        <f>IF($B48="","",SUBSTITUTE(INDEX('Données'!$H$2:$H$103,MATCH($B48,'Données'!$A$2:$A$103,0))&amp;"","¶",CHAR(10)))</f>
        <v/>
      </c>
      <c r="J48" s="4">
        <f>IF($B48="","",SUBSTITUTE(INDEX('Données'!$I$2:$I$103,MATCH($B48,'Données'!$A$2:$A$103,0))&amp;"","¶",CHAR(10)))</f>
        <v/>
      </c>
      <c r="K48" s="4">
        <f>IF($B48="","",SUBSTITUTE(INDEX('Données'!$K$2:$K$103,MATCH($B48,'Données'!$A$2:$A$103,0))&amp;"","¶",CHAR(10)))</f>
        <v/>
      </c>
    </row>
    <row r="49">
      <c r="A49" s="4">
        <f>IF(B49="","",47)</f>
        <v/>
      </c>
      <c r="B49" s="2">
        <f>IFERROR(INDEX('Sélection'!$A$4:$A$105,MATCH(47,'Sélection'!$G$4:$G$105,0)),"")</f>
        <v/>
      </c>
      <c r="C49" s="2">
        <f>IF($B49="","",SUBSTITUTE(INDEX('Données'!$B$2:$B$103,MATCH($B49,'Données'!$A$2:$A$103,0))&amp;"","¶",CHAR(10)))</f>
        <v/>
      </c>
      <c r="D49" s="4">
        <f>IF($B49="","",SUBSTITUTE(INDEX('Données'!$C$2:$C$103,MATCH($B49,'Données'!$A$2:$A$103,0))&amp;"","¶",CHAR(10)))</f>
        <v/>
      </c>
      <c r="E49" s="4">
        <f>IF($B49="","",SUBSTITUTE(INDEX('Données'!$D$2:$D$103,MATCH($B49,'Données'!$A$2:$A$103,0))&amp;"","¶",CHAR(10)))</f>
        <v/>
      </c>
      <c r="F49" s="4">
        <f>IF($B49="","",SUBSTITUTE(INDEX('Données'!$E$2:$E$103,MATCH($B49,'Données'!$A$2:$A$103,0))&amp;"","¶",CHAR(10)))</f>
        <v/>
      </c>
      <c r="G49" s="4">
        <f>IF($B49="","",SUBSTITUTE(INDEX('Données'!$F$2:$F$103,MATCH($B49,'Données'!$A$2:$A$103,0))&amp;"","¶",CHAR(10)))</f>
        <v/>
      </c>
      <c r="H49" s="4">
        <f>IF($B49="","",SUBSTITUTE(INDEX('Données'!$G$2:$G$103,MATCH($B49,'Données'!$A$2:$A$103,0))&amp;"","¶",CHAR(10)))</f>
        <v/>
      </c>
      <c r="I49" s="4">
        <f>IF($B49="","",SUBSTITUTE(INDEX('Données'!$H$2:$H$103,MATCH($B49,'Données'!$A$2:$A$103,0))&amp;"","¶",CHAR(10)))</f>
        <v/>
      </c>
      <c r="J49" s="4">
        <f>IF($B49="","",SUBSTITUTE(INDEX('Données'!$I$2:$I$103,MATCH($B49,'Données'!$A$2:$A$103,0))&amp;"","¶",CHAR(10)))</f>
        <v/>
      </c>
      <c r="K49" s="4">
        <f>IF($B49="","",SUBSTITUTE(INDEX('Données'!$K$2:$K$103,MATCH($B49,'Données'!$A$2:$A$103,0))&amp;"","¶",CHAR(10)))</f>
        <v/>
      </c>
    </row>
    <row r="50">
      <c r="A50" s="4">
        <f>IF(B50="","",48)</f>
        <v/>
      </c>
      <c r="B50" s="2">
        <f>IFERROR(INDEX('Sélection'!$A$4:$A$105,MATCH(48,'Sélection'!$G$4:$G$105,0)),"")</f>
        <v/>
      </c>
      <c r="C50" s="2">
        <f>IF($B50="","",SUBSTITUTE(INDEX('Données'!$B$2:$B$103,MATCH($B50,'Données'!$A$2:$A$103,0))&amp;"","¶",CHAR(10)))</f>
        <v/>
      </c>
      <c r="D50" s="4">
        <f>IF($B50="","",SUBSTITUTE(INDEX('Données'!$C$2:$C$103,MATCH($B50,'Données'!$A$2:$A$103,0))&amp;"","¶",CHAR(10)))</f>
        <v/>
      </c>
      <c r="E50" s="4">
        <f>IF($B50="","",SUBSTITUTE(INDEX('Données'!$D$2:$D$103,MATCH($B50,'Données'!$A$2:$A$103,0))&amp;"","¶",CHAR(10)))</f>
        <v/>
      </c>
      <c r="F50" s="4">
        <f>IF($B50="","",SUBSTITUTE(INDEX('Données'!$E$2:$E$103,MATCH($B50,'Données'!$A$2:$A$103,0))&amp;"","¶",CHAR(10)))</f>
        <v/>
      </c>
      <c r="G50" s="4">
        <f>IF($B50="","",SUBSTITUTE(INDEX('Données'!$F$2:$F$103,MATCH($B50,'Données'!$A$2:$A$103,0))&amp;"","¶",CHAR(10)))</f>
        <v/>
      </c>
      <c r="H50" s="4">
        <f>IF($B50="","",SUBSTITUTE(INDEX('Données'!$G$2:$G$103,MATCH($B50,'Données'!$A$2:$A$103,0))&amp;"","¶",CHAR(10)))</f>
        <v/>
      </c>
      <c r="I50" s="4">
        <f>IF($B50="","",SUBSTITUTE(INDEX('Données'!$H$2:$H$103,MATCH($B50,'Données'!$A$2:$A$103,0))&amp;"","¶",CHAR(10)))</f>
        <v/>
      </c>
      <c r="J50" s="4">
        <f>IF($B50="","",SUBSTITUTE(INDEX('Données'!$I$2:$I$103,MATCH($B50,'Données'!$A$2:$A$103,0))&amp;"","¶",CHAR(10)))</f>
        <v/>
      </c>
      <c r="K50" s="4">
        <f>IF($B50="","",SUBSTITUTE(INDEX('Données'!$K$2:$K$103,MATCH($B50,'Données'!$A$2:$A$103,0))&amp;"","¶",CHAR(10)))</f>
        <v/>
      </c>
    </row>
    <row r="51">
      <c r="A51" s="4">
        <f>IF(B51="","",49)</f>
        <v/>
      </c>
      <c r="B51" s="2">
        <f>IFERROR(INDEX('Sélection'!$A$4:$A$105,MATCH(49,'Sélection'!$G$4:$G$105,0)),"")</f>
        <v/>
      </c>
      <c r="C51" s="2">
        <f>IF($B51="","",SUBSTITUTE(INDEX('Données'!$B$2:$B$103,MATCH($B51,'Données'!$A$2:$A$103,0))&amp;"","¶",CHAR(10)))</f>
        <v/>
      </c>
      <c r="D51" s="4">
        <f>IF($B51="","",SUBSTITUTE(INDEX('Données'!$C$2:$C$103,MATCH($B51,'Données'!$A$2:$A$103,0))&amp;"","¶",CHAR(10)))</f>
        <v/>
      </c>
      <c r="E51" s="4">
        <f>IF($B51="","",SUBSTITUTE(INDEX('Données'!$D$2:$D$103,MATCH($B51,'Données'!$A$2:$A$103,0))&amp;"","¶",CHAR(10)))</f>
        <v/>
      </c>
      <c r="F51" s="4">
        <f>IF($B51="","",SUBSTITUTE(INDEX('Données'!$E$2:$E$103,MATCH($B51,'Données'!$A$2:$A$103,0))&amp;"","¶",CHAR(10)))</f>
        <v/>
      </c>
      <c r="G51" s="4">
        <f>IF($B51="","",SUBSTITUTE(INDEX('Données'!$F$2:$F$103,MATCH($B51,'Données'!$A$2:$A$103,0))&amp;"","¶",CHAR(10)))</f>
        <v/>
      </c>
      <c r="H51" s="4">
        <f>IF($B51="","",SUBSTITUTE(INDEX('Données'!$G$2:$G$103,MATCH($B51,'Données'!$A$2:$A$103,0))&amp;"","¶",CHAR(10)))</f>
        <v/>
      </c>
      <c r="I51" s="4">
        <f>IF($B51="","",SUBSTITUTE(INDEX('Données'!$H$2:$H$103,MATCH($B51,'Données'!$A$2:$A$103,0))&amp;"","¶",CHAR(10)))</f>
        <v/>
      </c>
      <c r="J51" s="4">
        <f>IF($B51="","",SUBSTITUTE(INDEX('Données'!$I$2:$I$103,MATCH($B51,'Données'!$A$2:$A$103,0))&amp;"","¶",CHAR(10)))</f>
        <v/>
      </c>
      <c r="K51" s="4">
        <f>IF($B51="","",SUBSTITUTE(INDEX('Données'!$K$2:$K$103,MATCH($B51,'Données'!$A$2:$A$103,0))&amp;"","¶",CHAR(10)))</f>
        <v/>
      </c>
    </row>
    <row r="52">
      <c r="A52" s="4">
        <f>IF(B52="","",50)</f>
        <v/>
      </c>
      <c r="B52" s="2">
        <f>IFERROR(INDEX('Sélection'!$A$4:$A$105,MATCH(50,'Sélection'!$G$4:$G$105,0)),"")</f>
        <v/>
      </c>
      <c r="C52" s="2">
        <f>IF($B52="","",SUBSTITUTE(INDEX('Données'!$B$2:$B$103,MATCH($B52,'Données'!$A$2:$A$103,0))&amp;"","¶",CHAR(10)))</f>
        <v/>
      </c>
      <c r="D52" s="4">
        <f>IF($B52="","",SUBSTITUTE(INDEX('Données'!$C$2:$C$103,MATCH($B52,'Données'!$A$2:$A$103,0))&amp;"","¶",CHAR(10)))</f>
        <v/>
      </c>
      <c r="E52" s="4">
        <f>IF($B52="","",SUBSTITUTE(INDEX('Données'!$D$2:$D$103,MATCH($B52,'Données'!$A$2:$A$103,0))&amp;"","¶",CHAR(10)))</f>
        <v/>
      </c>
      <c r="F52" s="4">
        <f>IF($B52="","",SUBSTITUTE(INDEX('Données'!$E$2:$E$103,MATCH($B52,'Données'!$A$2:$A$103,0))&amp;"","¶",CHAR(10)))</f>
        <v/>
      </c>
      <c r="G52" s="4">
        <f>IF($B52="","",SUBSTITUTE(INDEX('Données'!$F$2:$F$103,MATCH($B52,'Données'!$A$2:$A$103,0))&amp;"","¶",CHAR(10)))</f>
        <v/>
      </c>
      <c r="H52" s="4">
        <f>IF($B52="","",SUBSTITUTE(INDEX('Données'!$G$2:$G$103,MATCH($B52,'Données'!$A$2:$A$103,0))&amp;"","¶",CHAR(10)))</f>
        <v/>
      </c>
      <c r="I52" s="4">
        <f>IF($B52="","",SUBSTITUTE(INDEX('Données'!$H$2:$H$103,MATCH($B52,'Données'!$A$2:$A$103,0))&amp;"","¶",CHAR(10)))</f>
        <v/>
      </c>
      <c r="J52" s="4">
        <f>IF($B52="","",SUBSTITUTE(INDEX('Données'!$I$2:$I$103,MATCH($B52,'Données'!$A$2:$A$103,0))&amp;"","¶",CHAR(10)))</f>
        <v/>
      </c>
      <c r="K52" s="4">
        <f>IF($B52="","",SUBSTITUTE(INDEX('Données'!$K$2:$K$103,MATCH($B52,'Données'!$A$2:$A$103,0))&amp;"","¶",CHAR(10)))</f>
        <v/>
      </c>
    </row>
    <row r="53">
      <c r="A53" s="4">
        <f>IF(B53="","",51)</f>
        <v/>
      </c>
      <c r="B53" s="2">
        <f>IFERROR(INDEX('Sélection'!$A$4:$A$105,MATCH(51,'Sélection'!$G$4:$G$105,0)),"")</f>
        <v/>
      </c>
      <c r="C53" s="2">
        <f>IF($B53="","",SUBSTITUTE(INDEX('Données'!$B$2:$B$103,MATCH($B53,'Données'!$A$2:$A$103,0))&amp;"","¶",CHAR(10)))</f>
        <v/>
      </c>
      <c r="D53" s="4">
        <f>IF($B53="","",SUBSTITUTE(INDEX('Données'!$C$2:$C$103,MATCH($B53,'Données'!$A$2:$A$103,0))&amp;"","¶",CHAR(10)))</f>
        <v/>
      </c>
      <c r="E53" s="4">
        <f>IF($B53="","",SUBSTITUTE(INDEX('Données'!$D$2:$D$103,MATCH($B53,'Données'!$A$2:$A$103,0))&amp;"","¶",CHAR(10)))</f>
        <v/>
      </c>
      <c r="F53" s="4">
        <f>IF($B53="","",SUBSTITUTE(INDEX('Données'!$E$2:$E$103,MATCH($B53,'Données'!$A$2:$A$103,0))&amp;"","¶",CHAR(10)))</f>
        <v/>
      </c>
      <c r="G53" s="4">
        <f>IF($B53="","",SUBSTITUTE(INDEX('Données'!$F$2:$F$103,MATCH($B53,'Données'!$A$2:$A$103,0))&amp;"","¶",CHAR(10)))</f>
        <v/>
      </c>
      <c r="H53" s="4">
        <f>IF($B53="","",SUBSTITUTE(INDEX('Données'!$G$2:$G$103,MATCH($B53,'Données'!$A$2:$A$103,0))&amp;"","¶",CHAR(10)))</f>
        <v/>
      </c>
      <c r="I53" s="4">
        <f>IF($B53="","",SUBSTITUTE(INDEX('Données'!$H$2:$H$103,MATCH($B53,'Données'!$A$2:$A$103,0))&amp;"","¶",CHAR(10)))</f>
        <v/>
      </c>
      <c r="J53" s="4">
        <f>IF($B53="","",SUBSTITUTE(INDEX('Données'!$I$2:$I$103,MATCH($B53,'Données'!$A$2:$A$103,0))&amp;"","¶",CHAR(10)))</f>
        <v/>
      </c>
      <c r="K53" s="4">
        <f>IF($B53="","",SUBSTITUTE(INDEX('Données'!$K$2:$K$103,MATCH($B53,'Données'!$A$2:$A$103,0))&amp;"","¶",CHAR(10)))</f>
        <v/>
      </c>
    </row>
    <row r="54">
      <c r="A54" s="4">
        <f>IF(B54="","",52)</f>
        <v/>
      </c>
      <c r="B54" s="2">
        <f>IFERROR(INDEX('Sélection'!$A$4:$A$105,MATCH(52,'Sélection'!$G$4:$G$105,0)),"")</f>
        <v/>
      </c>
      <c r="C54" s="2">
        <f>IF($B54="","",SUBSTITUTE(INDEX('Données'!$B$2:$B$103,MATCH($B54,'Données'!$A$2:$A$103,0))&amp;"","¶",CHAR(10)))</f>
        <v/>
      </c>
      <c r="D54" s="4">
        <f>IF($B54="","",SUBSTITUTE(INDEX('Données'!$C$2:$C$103,MATCH($B54,'Données'!$A$2:$A$103,0))&amp;"","¶",CHAR(10)))</f>
        <v/>
      </c>
      <c r="E54" s="4">
        <f>IF($B54="","",SUBSTITUTE(INDEX('Données'!$D$2:$D$103,MATCH($B54,'Données'!$A$2:$A$103,0))&amp;"","¶",CHAR(10)))</f>
        <v/>
      </c>
      <c r="F54" s="4">
        <f>IF($B54="","",SUBSTITUTE(INDEX('Données'!$E$2:$E$103,MATCH($B54,'Données'!$A$2:$A$103,0))&amp;"","¶",CHAR(10)))</f>
        <v/>
      </c>
      <c r="G54" s="4">
        <f>IF($B54="","",SUBSTITUTE(INDEX('Données'!$F$2:$F$103,MATCH($B54,'Données'!$A$2:$A$103,0))&amp;"","¶",CHAR(10)))</f>
        <v/>
      </c>
      <c r="H54" s="4">
        <f>IF($B54="","",SUBSTITUTE(INDEX('Données'!$G$2:$G$103,MATCH($B54,'Données'!$A$2:$A$103,0))&amp;"","¶",CHAR(10)))</f>
        <v/>
      </c>
      <c r="I54" s="4">
        <f>IF($B54="","",SUBSTITUTE(INDEX('Données'!$H$2:$H$103,MATCH($B54,'Données'!$A$2:$A$103,0))&amp;"","¶",CHAR(10)))</f>
        <v/>
      </c>
      <c r="J54" s="4">
        <f>IF($B54="","",SUBSTITUTE(INDEX('Données'!$I$2:$I$103,MATCH($B54,'Données'!$A$2:$A$103,0))&amp;"","¶",CHAR(10)))</f>
        <v/>
      </c>
      <c r="K54" s="4">
        <f>IF($B54="","",SUBSTITUTE(INDEX('Données'!$K$2:$K$103,MATCH($B54,'Données'!$A$2:$A$103,0))&amp;"","¶",CHAR(10)))</f>
        <v/>
      </c>
    </row>
    <row r="55">
      <c r="A55" s="4">
        <f>IF(B55="","",53)</f>
        <v/>
      </c>
      <c r="B55" s="2">
        <f>IFERROR(INDEX('Sélection'!$A$4:$A$105,MATCH(53,'Sélection'!$G$4:$G$105,0)),"")</f>
        <v/>
      </c>
      <c r="C55" s="2">
        <f>IF($B55="","",SUBSTITUTE(INDEX('Données'!$B$2:$B$103,MATCH($B55,'Données'!$A$2:$A$103,0))&amp;"","¶",CHAR(10)))</f>
        <v/>
      </c>
      <c r="D55" s="4">
        <f>IF($B55="","",SUBSTITUTE(INDEX('Données'!$C$2:$C$103,MATCH($B55,'Données'!$A$2:$A$103,0))&amp;"","¶",CHAR(10)))</f>
        <v/>
      </c>
      <c r="E55" s="4">
        <f>IF($B55="","",SUBSTITUTE(INDEX('Données'!$D$2:$D$103,MATCH($B55,'Données'!$A$2:$A$103,0))&amp;"","¶",CHAR(10)))</f>
        <v/>
      </c>
      <c r="F55" s="4">
        <f>IF($B55="","",SUBSTITUTE(INDEX('Données'!$E$2:$E$103,MATCH($B55,'Données'!$A$2:$A$103,0))&amp;"","¶",CHAR(10)))</f>
        <v/>
      </c>
      <c r="G55" s="4">
        <f>IF($B55="","",SUBSTITUTE(INDEX('Données'!$F$2:$F$103,MATCH($B55,'Données'!$A$2:$A$103,0))&amp;"","¶",CHAR(10)))</f>
        <v/>
      </c>
      <c r="H55" s="4">
        <f>IF($B55="","",SUBSTITUTE(INDEX('Données'!$G$2:$G$103,MATCH($B55,'Données'!$A$2:$A$103,0))&amp;"","¶",CHAR(10)))</f>
        <v/>
      </c>
      <c r="I55" s="4">
        <f>IF($B55="","",SUBSTITUTE(INDEX('Données'!$H$2:$H$103,MATCH($B55,'Données'!$A$2:$A$103,0))&amp;"","¶",CHAR(10)))</f>
        <v/>
      </c>
      <c r="J55" s="4">
        <f>IF($B55="","",SUBSTITUTE(INDEX('Données'!$I$2:$I$103,MATCH($B55,'Données'!$A$2:$A$103,0))&amp;"","¶",CHAR(10)))</f>
        <v/>
      </c>
      <c r="K55" s="4">
        <f>IF($B55="","",SUBSTITUTE(INDEX('Données'!$K$2:$K$103,MATCH($B55,'Données'!$A$2:$A$103,0))&amp;"","¶",CHAR(10)))</f>
        <v/>
      </c>
    </row>
    <row r="56">
      <c r="A56" s="4">
        <f>IF(B56="","",54)</f>
        <v/>
      </c>
      <c r="B56" s="2">
        <f>IFERROR(INDEX('Sélection'!$A$4:$A$105,MATCH(54,'Sélection'!$G$4:$G$105,0)),"")</f>
        <v/>
      </c>
      <c r="C56" s="2">
        <f>IF($B56="","",SUBSTITUTE(INDEX('Données'!$B$2:$B$103,MATCH($B56,'Données'!$A$2:$A$103,0))&amp;"","¶",CHAR(10)))</f>
        <v/>
      </c>
      <c r="D56" s="4">
        <f>IF($B56="","",SUBSTITUTE(INDEX('Données'!$C$2:$C$103,MATCH($B56,'Données'!$A$2:$A$103,0))&amp;"","¶",CHAR(10)))</f>
        <v/>
      </c>
      <c r="E56" s="4">
        <f>IF($B56="","",SUBSTITUTE(INDEX('Données'!$D$2:$D$103,MATCH($B56,'Données'!$A$2:$A$103,0))&amp;"","¶",CHAR(10)))</f>
        <v/>
      </c>
      <c r="F56" s="4">
        <f>IF($B56="","",SUBSTITUTE(INDEX('Données'!$E$2:$E$103,MATCH($B56,'Données'!$A$2:$A$103,0))&amp;"","¶",CHAR(10)))</f>
        <v/>
      </c>
      <c r="G56" s="4">
        <f>IF($B56="","",SUBSTITUTE(INDEX('Données'!$F$2:$F$103,MATCH($B56,'Données'!$A$2:$A$103,0))&amp;"","¶",CHAR(10)))</f>
        <v/>
      </c>
      <c r="H56" s="4">
        <f>IF($B56="","",SUBSTITUTE(INDEX('Données'!$G$2:$G$103,MATCH($B56,'Données'!$A$2:$A$103,0))&amp;"","¶",CHAR(10)))</f>
        <v/>
      </c>
      <c r="I56" s="4">
        <f>IF($B56="","",SUBSTITUTE(INDEX('Données'!$H$2:$H$103,MATCH($B56,'Données'!$A$2:$A$103,0))&amp;"","¶",CHAR(10)))</f>
        <v/>
      </c>
      <c r="J56" s="4">
        <f>IF($B56="","",SUBSTITUTE(INDEX('Données'!$I$2:$I$103,MATCH($B56,'Données'!$A$2:$A$103,0))&amp;"","¶",CHAR(10)))</f>
        <v/>
      </c>
      <c r="K56" s="4">
        <f>IF($B56="","",SUBSTITUTE(INDEX('Données'!$K$2:$K$103,MATCH($B56,'Données'!$A$2:$A$103,0))&amp;"","¶",CHAR(10)))</f>
        <v/>
      </c>
    </row>
    <row r="57">
      <c r="A57" s="4">
        <f>IF(B57="","",55)</f>
        <v/>
      </c>
      <c r="B57" s="2">
        <f>IFERROR(INDEX('Sélection'!$A$4:$A$105,MATCH(55,'Sélection'!$G$4:$G$105,0)),"")</f>
        <v/>
      </c>
      <c r="C57" s="2">
        <f>IF($B57="","",SUBSTITUTE(INDEX('Données'!$B$2:$B$103,MATCH($B57,'Données'!$A$2:$A$103,0))&amp;"","¶",CHAR(10)))</f>
        <v/>
      </c>
      <c r="D57" s="4">
        <f>IF($B57="","",SUBSTITUTE(INDEX('Données'!$C$2:$C$103,MATCH($B57,'Données'!$A$2:$A$103,0))&amp;"","¶",CHAR(10)))</f>
        <v/>
      </c>
      <c r="E57" s="4">
        <f>IF($B57="","",SUBSTITUTE(INDEX('Données'!$D$2:$D$103,MATCH($B57,'Données'!$A$2:$A$103,0))&amp;"","¶",CHAR(10)))</f>
        <v/>
      </c>
      <c r="F57" s="4">
        <f>IF($B57="","",SUBSTITUTE(INDEX('Données'!$E$2:$E$103,MATCH($B57,'Données'!$A$2:$A$103,0))&amp;"","¶",CHAR(10)))</f>
        <v/>
      </c>
      <c r="G57" s="4">
        <f>IF($B57="","",SUBSTITUTE(INDEX('Données'!$F$2:$F$103,MATCH($B57,'Données'!$A$2:$A$103,0))&amp;"","¶",CHAR(10)))</f>
        <v/>
      </c>
      <c r="H57" s="4">
        <f>IF($B57="","",SUBSTITUTE(INDEX('Données'!$G$2:$G$103,MATCH($B57,'Données'!$A$2:$A$103,0))&amp;"","¶",CHAR(10)))</f>
        <v/>
      </c>
      <c r="I57" s="4">
        <f>IF($B57="","",SUBSTITUTE(INDEX('Données'!$H$2:$H$103,MATCH($B57,'Données'!$A$2:$A$103,0))&amp;"","¶",CHAR(10)))</f>
        <v/>
      </c>
      <c r="J57" s="4">
        <f>IF($B57="","",SUBSTITUTE(INDEX('Données'!$I$2:$I$103,MATCH($B57,'Données'!$A$2:$A$103,0))&amp;"","¶",CHAR(10)))</f>
        <v/>
      </c>
      <c r="K57" s="4">
        <f>IF($B57="","",SUBSTITUTE(INDEX('Données'!$K$2:$K$103,MATCH($B57,'Données'!$A$2:$A$103,0))&amp;"","¶",CHAR(10)))</f>
        <v/>
      </c>
    </row>
    <row r="58">
      <c r="A58" s="4">
        <f>IF(B58="","",56)</f>
        <v/>
      </c>
      <c r="B58" s="2">
        <f>IFERROR(INDEX('Sélection'!$A$4:$A$105,MATCH(56,'Sélection'!$G$4:$G$105,0)),"")</f>
        <v/>
      </c>
      <c r="C58" s="2">
        <f>IF($B58="","",SUBSTITUTE(INDEX('Données'!$B$2:$B$103,MATCH($B58,'Données'!$A$2:$A$103,0))&amp;"","¶",CHAR(10)))</f>
        <v/>
      </c>
      <c r="D58" s="4">
        <f>IF($B58="","",SUBSTITUTE(INDEX('Données'!$C$2:$C$103,MATCH($B58,'Données'!$A$2:$A$103,0))&amp;"","¶",CHAR(10)))</f>
        <v/>
      </c>
      <c r="E58" s="4">
        <f>IF($B58="","",SUBSTITUTE(INDEX('Données'!$D$2:$D$103,MATCH($B58,'Données'!$A$2:$A$103,0))&amp;"","¶",CHAR(10)))</f>
        <v/>
      </c>
      <c r="F58" s="4">
        <f>IF($B58="","",SUBSTITUTE(INDEX('Données'!$E$2:$E$103,MATCH($B58,'Données'!$A$2:$A$103,0))&amp;"","¶",CHAR(10)))</f>
        <v/>
      </c>
      <c r="G58" s="4">
        <f>IF($B58="","",SUBSTITUTE(INDEX('Données'!$F$2:$F$103,MATCH($B58,'Données'!$A$2:$A$103,0))&amp;"","¶",CHAR(10)))</f>
        <v/>
      </c>
      <c r="H58" s="4">
        <f>IF($B58="","",SUBSTITUTE(INDEX('Données'!$G$2:$G$103,MATCH($B58,'Données'!$A$2:$A$103,0))&amp;"","¶",CHAR(10)))</f>
        <v/>
      </c>
      <c r="I58" s="4">
        <f>IF($B58="","",SUBSTITUTE(INDEX('Données'!$H$2:$H$103,MATCH($B58,'Données'!$A$2:$A$103,0))&amp;"","¶",CHAR(10)))</f>
        <v/>
      </c>
      <c r="J58" s="4">
        <f>IF($B58="","",SUBSTITUTE(INDEX('Données'!$I$2:$I$103,MATCH($B58,'Données'!$A$2:$A$103,0))&amp;"","¶",CHAR(10)))</f>
        <v/>
      </c>
      <c r="K58" s="4">
        <f>IF($B58="","",SUBSTITUTE(INDEX('Données'!$K$2:$K$103,MATCH($B58,'Données'!$A$2:$A$103,0))&amp;"","¶",CHAR(10)))</f>
        <v/>
      </c>
    </row>
    <row r="59">
      <c r="A59" s="4">
        <f>IF(B59="","",57)</f>
        <v/>
      </c>
      <c r="B59" s="2">
        <f>IFERROR(INDEX('Sélection'!$A$4:$A$105,MATCH(57,'Sélection'!$G$4:$G$105,0)),"")</f>
        <v/>
      </c>
      <c r="C59" s="2">
        <f>IF($B59="","",SUBSTITUTE(INDEX('Données'!$B$2:$B$103,MATCH($B59,'Données'!$A$2:$A$103,0))&amp;"","¶",CHAR(10)))</f>
        <v/>
      </c>
      <c r="D59" s="4">
        <f>IF($B59="","",SUBSTITUTE(INDEX('Données'!$C$2:$C$103,MATCH($B59,'Données'!$A$2:$A$103,0))&amp;"","¶",CHAR(10)))</f>
        <v/>
      </c>
      <c r="E59" s="4">
        <f>IF($B59="","",SUBSTITUTE(INDEX('Données'!$D$2:$D$103,MATCH($B59,'Données'!$A$2:$A$103,0))&amp;"","¶",CHAR(10)))</f>
        <v/>
      </c>
      <c r="F59" s="4">
        <f>IF($B59="","",SUBSTITUTE(INDEX('Données'!$E$2:$E$103,MATCH($B59,'Données'!$A$2:$A$103,0))&amp;"","¶",CHAR(10)))</f>
        <v/>
      </c>
      <c r="G59" s="4">
        <f>IF($B59="","",SUBSTITUTE(INDEX('Données'!$F$2:$F$103,MATCH($B59,'Données'!$A$2:$A$103,0))&amp;"","¶",CHAR(10)))</f>
        <v/>
      </c>
      <c r="H59" s="4">
        <f>IF($B59="","",SUBSTITUTE(INDEX('Données'!$G$2:$G$103,MATCH($B59,'Données'!$A$2:$A$103,0))&amp;"","¶",CHAR(10)))</f>
        <v/>
      </c>
      <c r="I59" s="4">
        <f>IF($B59="","",SUBSTITUTE(INDEX('Données'!$H$2:$H$103,MATCH($B59,'Données'!$A$2:$A$103,0))&amp;"","¶",CHAR(10)))</f>
        <v/>
      </c>
      <c r="J59" s="4">
        <f>IF($B59="","",SUBSTITUTE(INDEX('Données'!$I$2:$I$103,MATCH($B59,'Données'!$A$2:$A$103,0))&amp;"","¶",CHAR(10)))</f>
        <v/>
      </c>
      <c r="K59" s="4">
        <f>IF($B59="","",SUBSTITUTE(INDEX('Données'!$K$2:$K$103,MATCH($B59,'Données'!$A$2:$A$103,0))&amp;"","¶",CHAR(10)))</f>
        <v/>
      </c>
    </row>
    <row r="60">
      <c r="A60" s="4">
        <f>IF(B60="","",58)</f>
        <v/>
      </c>
      <c r="B60" s="2">
        <f>IFERROR(INDEX('Sélection'!$A$4:$A$105,MATCH(58,'Sélection'!$G$4:$G$105,0)),"")</f>
        <v/>
      </c>
      <c r="C60" s="2">
        <f>IF($B60="","",SUBSTITUTE(INDEX('Données'!$B$2:$B$103,MATCH($B60,'Données'!$A$2:$A$103,0))&amp;"","¶",CHAR(10)))</f>
        <v/>
      </c>
      <c r="D60" s="4">
        <f>IF($B60="","",SUBSTITUTE(INDEX('Données'!$C$2:$C$103,MATCH($B60,'Données'!$A$2:$A$103,0))&amp;"","¶",CHAR(10)))</f>
        <v/>
      </c>
      <c r="E60" s="4">
        <f>IF($B60="","",SUBSTITUTE(INDEX('Données'!$D$2:$D$103,MATCH($B60,'Données'!$A$2:$A$103,0))&amp;"","¶",CHAR(10)))</f>
        <v/>
      </c>
      <c r="F60" s="4">
        <f>IF($B60="","",SUBSTITUTE(INDEX('Données'!$E$2:$E$103,MATCH($B60,'Données'!$A$2:$A$103,0))&amp;"","¶",CHAR(10)))</f>
        <v/>
      </c>
      <c r="G60" s="4">
        <f>IF($B60="","",SUBSTITUTE(INDEX('Données'!$F$2:$F$103,MATCH($B60,'Données'!$A$2:$A$103,0))&amp;"","¶",CHAR(10)))</f>
        <v/>
      </c>
      <c r="H60" s="4">
        <f>IF($B60="","",SUBSTITUTE(INDEX('Données'!$G$2:$G$103,MATCH($B60,'Données'!$A$2:$A$103,0))&amp;"","¶",CHAR(10)))</f>
        <v/>
      </c>
      <c r="I60" s="4">
        <f>IF($B60="","",SUBSTITUTE(INDEX('Données'!$H$2:$H$103,MATCH($B60,'Données'!$A$2:$A$103,0))&amp;"","¶",CHAR(10)))</f>
        <v/>
      </c>
      <c r="J60" s="4">
        <f>IF($B60="","",SUBSTITUTE(INDEX('Données'!$I$2:$I$103,MATCH($B60,'Données'!$A$2:$A$103,0))&amp;"","¶",CHAR(10)))</f>
        <v/>
      </c>
      <c r="K60" s="4">
        <f>IF($B60="","",SUBSTITUTE(INDEX('Données'!$K$2:$K$103,MATCH($B60,'Données'!$A$2:$A$103,0))&amp;"","¶",CHAR(10)))</f>
        <v/>
      </c>
    </row>
    <row r="61">
      <c r="A61" s="4">
        <f>IF(B61="","",59)</f>
        <v/>
      </c>
      <c r="B61" s="2">
        <f>IFERROR(INDEX('Sélection'!$A$4:$A$105,MATCH(59,'Sélection'!$G$4:$G$105,0)),"")</f>
        <v/>
      </c>
      <c r="C61" s="2">
        <f>IF($B61="","",SUBSTITUTE(INDEX('Données'!$B$2:$B$103,MATCH($B61,'Données'!$A$2:$A$103,0))&amp;"","¶",CHAR(10)))</f>
        <v/>
      </c>
      <c r="D61" s="4">
        <f>IF($B61="","",SUBSTITUTE(INDEX('Données'!$C$2:$C$103,MATCH($B61,'Données'!$A$2:$A$103,0))&amp;"","¶",CHAR(10)))</f>
        <v/>
      </c>
      <c r="E61" s="4">
        <f>IF($B61="","",SUBSTITUTE(INDEX('Données'!$D$2:$D$103,MATCH($B61,'Données'!$A$2:$A$103,0))&amp;"","¶",CHAR(10)))</f>
        <v/>
      </c>
      <c r="F61" s="4">
        <f>IF($B61="","",SUBSTITUTE(INDEX('Données'!$E$2:$E$103,MATCH($B61,'Données'!$A$2:$A$103,0))&amp;"","¶",CHAR(10)))</f>
        <v/>
      </c>
      <c r="G61" s="4">
        <f>IF($B61="","",SUBSTITUTE(INDEX('Données'!$F$2:$F$103,MATCH($B61,'Données'!$A$2:$A$103,0))&amp;"","¶",CHAR(10)))</f>
        <v/>
      </c>
      <c r="H61" s="4">
        <f>IF($B61="","",SUBSTITUTE(INDEX('Données'!$G$2:$G$103,MATCH($B61,'Données'!$A$2:$A$103,0))&amp;"","¶",CHAR(10)))</f>
        <v/>
      </c>
      <c r="I61" s="4">
        <f>IF($B61="","",SUBSTITUTE(INDEX('Données'!$H$2:$H$103,MATCH($B61,'Données'!$A$2:$A$103,0))&amp;"","¶",CHAR(10)))</f>
        <v/>
      </c>
      <c r="J61" s="4">
        <f>IF($B61="","",SUBSTITUTE(INDEX('Données'!$I$2:$I$103,MATCH($B61,'Données'!$A$2:$A$103,0))&amp;"","¶",CHAR(10)))</f>
        <v/>
      </c>
      <c r="K61" s="4">
        <f>IF($B61="","",SUBSTITUTE(INDEX('Données'!$K$2:$K$103,MATCH($B61,'Données'!$A$2:$A$103,0))&amp;"","¶",CHAR(10)))</f>
        <v/>
      </c>
    </row>
    <row r="62">
      <c r="A62" s="4">
        <f>IF(B62="","",60)</f>
        <v/>
      </c>
      <c r="B62" s="2">
        <f>IFERROR(INDEX('Sélection'!$A$4:$A$105,MATCH(60,'Sélection'!$G$4:$G$105,0)),"")</f>
        <v/>
      </c>
      <c r="C62" s="2">
        <f>IF($B62="","",SUBSTITUTE(INDEX('Données'!$B$2:$B$103,MATCH($B62,'Données'!$A$2:$A$103,0))&amp;"","¶",CHAR(10)))</f>
        <v/>
      </c>
      <c r="D62" s="4">
        <f>IF($B62="","",SUBSTITUTE(INDEX('Données'!$C$2:$C$103,MATCH($B62,'Données'!$A$2:$A$103,0))&amp;"","¶",CHAR(10)))</f>
        <v/>
      </c>
      <c r="E62" s="4">
        <f>IF($B62="","",SUBSTITUTE(INDEX('Données'!$D$2:$D$103,MATCH($B62,'Données'!$A$2:$A$103,0))&amp;"","¶",CHAR(10)))</f>
        <v/>
      </c>
      <c r="F62" s="4">
        <f>IF($B62="","",SUBSTITUTE(INDEX('Données'!$E$2:$E$103,MATCH($B62,'Données'!$A$2:$A$103,0))&amp;"","¶",CHAR(10)))</f>
        <v/>
      </c>
      <c r="G62" s="4">
        <f>IF($B62="","",SUBSTITUTE(INDEX('Données'!$F$2:$F$103,MATCH($B62,'Données'!$A$2:$A$103,0))&amp;"","¶",CHAR(10)))</f>
        <v/>
      </c>
      <c r="H62" s="4">
        <f>IF($B62="","",SUBSTITUTE(INDEX('Données'!$G$2:$G$103,MATCH($B62,'Données'!$A$2:$A$103,0))&amp;"","¶",CHAR(10)))</f>
        <v/>
      </c>
      <c r="I62" s="4">
        <f>IF($B62="","",SUBSTITUTE(INDEX('Données'!$H$2:$H$103,MATCH($B62,'Données'!$A$2:$A$103,0))&amp;"","¶",CHAR(10)))</f>
        <v/>
      </c>
      <c r="J62" s="4">
        <f>IF($B62="","",SUBSTITUTE(INDEX('Données'!$I$2:$I$103,MATCH($B62,'Données'!$A$2:$A$103,0))&amp;"","¶",CHAR(10)))</f>
        <v/>
      </c>
      <c r="K62" s="4">
        <f>IF($B62="","",SUBSTITUTE(INDEX('Données'!$K$2:$K$103,MATCH($B62,'Données'!$A$2:$A$103,0))&amp;"","¶",CHAR(10)))</f>
        <v/>
      </c>
    </row>
    <row r="63">
      <c r="A63" s="4">
        <f>IF(B63="","",61)</f>
        <v/>
      </c>
      <c r="B63" s="2">
        <f>IFERROR(INDEX('Sélection'!$A$4:$A$105,MATCH(61,'Sélection'!$G$4:$G$105,0)),"")</f>
        <v/>
      </c>
      <c r="C63" s="2">
        <f>IF($B63="","",SUBSTITUTE(INDEX('Données'!$B$2:$B$103,MATCH($B63,'Données'!$A$2:$A$103,0))&amp;"","¶",CHAR(10)))</f>
        <v/>
      </c>
      <c r="D63" s="4">
        <f>IF($B63="","",SUBSTITUTE(INDEX('Données'!$C$2:$C$103,MATCH($B63,'Données'!$A$2:$A$103,0))&amp;"","¶",CHAR(10)))</f>
        <v/>
      </c>
      <c r="E63" s="4">
        <f>IF($B63="","",SUBSTITUTE(INDEX('Données'!$D$2:$D$103,MATCH($B63,'Données'!$A$2:$A$103,0))&amp;"","¶",CHAR(10)))</f>
        <v/>
      </c>
      <c r="F63" s="4">
        <f>IF($B63="","",SUBSTITUTE(INDEX('Données'!$E$2:$E$103,MATCH($B63,'Données'!$A$2:$A$103,0))&amp;"","¶",CHAR(10)))</f>
        <v/>
      </c>
      <c r="G63" s="4">
        <f>IF($B63="","",SUBSTITUTE(INDEX('Données'!$F$2:$F$103,MATCH($B63,'Données'!$A$2:$A$103,0))&amp;"","¶",CHAR(10)))</f>
        <v/>
      </c>
      <c r="H63" s="4">
        <f>IF($B63="","",SUBSTITUTE(INDEX('Données'!$G$2:$G$103,MATCH($B63,'Données'!$A$2:$A$103,0))&amp;"","¶",CHAR(10)))</f>
        <v/>
      </c>
      <c r="I63" s="4">
        <f>IF($B63="","",SUBSTITUTE(INDEX('Données'!$H$2:$H$103,MATCH($B63,'Données'!$A$2:$A$103,0))&amp;"","¶",CHAR(10)))</f>
        <v/>
      </c>
      <c r="J63" s="4">
        <f>IF($B63="","",SUBSTITUTE(INDEX('Données'!$I$2:$I$103,MATCH($B63,'Données'!$A$2:$A$103,0))&amp;"","¶",CHAR(10)))</f>
        <v/>
      </c>
      <c r="K63" s="4">
        <f>IF($B63="","",SUBSTITUTE(INDEX('Données'!$K$2:$K$103,MATCH($B63,'Données'!$A$2:$A$103,0))&amp;"","¶",CHAR(10)))</f>
        <v/>
      </c>
    </row>
    <row r="64">
      <c r="A64" s="4">
        <f>IF(B64="","",62)</f>
        <v/>
      </c>
      <c r="B64" s="2">
        <f>IFERROR(INDEX('Sélection'!$A$4:$A$105,MATCH(62,'Sélection'!$G$4:$G$105,0)),"")</f>
        <v/>
      </c>
      <c r="C64" s="2">
        <f>IF($B64="","",SUBSTITUTE(INDEX('Données'!$B$2:$B$103,MATCH($B64,'Données'!$A$2:$A$103,0))&amp;"","¶",CHAR(10)))</f>
        <v/>
      </c>
      <c r="D64" s="4">
        <f>IF($B64="","",SUBSTITUTE(INDEX('Données'!$C$2:$C$103,MATCH($B64,'Données'!$A$2:$A$103,0))&amp;"","¶",CHAR(10)))</f>
        <v/>
      </c>
      <c r="E64" s="4">
        <f>IF($B64="","",SUBSTITUTE(INDEX('Données'!$D$2:$D$103,MATCH($B64,'Données'!$A$2:$A$103,0))&amp;"","¶",CHAR(10)))</f>
        <v/>
      </c>
      <c r="F64" s="4">
        <f>IF($B64="","",SUBSTITUTE(INDEX('Données'!$E$2:$E$103,MATCH($B64,'Données'!$A$2:$A$103,0))&amp;"","¶",CHAR(10)))</f>
        <v/>
      </c>
      <c r="G64" s="4">
        <f>IF($B64="","",SUBSTITUTE(INDEX('Données'!$F$2:$F$103,MATCH($B64,'Données'!$A$2:$A$103,0))&amp;"","¶",CHAR(10)))</f>
        <v/>
      </c>
      <c r="H64" s="4">
        <f>IF($B64="","",SUBSTITUTE(INDEX('Données'!$G$2:$G$103,MATCH($B64,'Données'!$A$2:$A$103,0))&amp;"","¶",CHAR(10)))</f>
        <v/>
      </c>
      <c r="I64" s="4">
        <f>IF($B64="","",SUBSTITUTE(INDEX('Données'!$H$2:$H$103,MATCH($B64,'Données'!$A$2:$A$103,0))&amp;"","¶",CHAR(10)))</f>
        <v/>
      </c>
      <c r="J64" s="4">
        <f>IF($B64="","",SUBSTITUTE(INDEX('Données'!$I$2:$I$103,MATCH($B64,'Données'!$A$2:$A$103,0))&amp;"","¶",CHAR(10)))</f>
        <v/>
      </c>
      <c r="K64" s="4">
        <f>IF($B64="","",SUBSTITUTE(INDEX('Données'!$K$2:$K$103,MATCH($B64,'Données'!$A$2:$A$103,0))&amp;"","¶",CHAR(10)))</f>
        <v/>
      </c>
    </row>
    <row r="65">
      <c r="A65" s="4">
        <f>IF(B65="","",63)</f>
        <v/>
      </c>
      <c r="B65" s="2">
        <f>IFERROR(INDEX('Sélection'!$A$4:$A$105,MATCH(63,'Sélection'!$G$4:$G$105,0)),"")</f>
        <v/>
      </c>
      <c r="C65" s="2">
        <f>IF($B65="","",SUBSTITUTE(INDEX('Données'!$B$2:$B$103,MATCH($B65,'Données'!$A$2:$A$103,0))&amp;"","¶",CHAR(10)))</f>
        <v/>
      </c>
      <c r="D65" s="4">
        <f>IF($B65="","",SUBSTITUTE(INDEX('Données'!$C$2:$C$103,MATCH($B65,'Données'!$A$2:$A$103,0))&amp;"","¶",CHAR(10)))</f>
        <v/>
      </c>
      <c r="E65" s="4">
        <f>IF($B65="","",SUBSTITUTE(INDEX('Données'!$D$2:$D$103,MATCH($B65,'Données'!$A$2:$A$103,0))&amp;"","¶",CHAR(10)))</f>
        <v/>
      </c>
      <c r="F65" s="4">
        <f>IF($B65="","",SUBSTITUTE(INDEX('Données'!$E$2:$E$103,MATCH($B65,'Données'!$A$2:$A$103,0))&amp;"","¶",CHAR(10)))</f>
        <v/>
      </c>
      <c r="G65" s="4">
        <f>IF($B65="","",SUBSTITUTE(INDEX('Données'!$F$2:$F$103,MATCH($B65,'Données'!$A$2:$A$103,0))&amp;"","¶",CHAR(10)))</f>
        <v/>
      </c>
      <c r="H65" s="4">
        <f>IF($B65="","",SUBSTITUTE(INDEX('Données'!$G$2:$G$103,MATCH($B65,'Données'!$A$2:$A$103,0))&amp;"","¶",CHAR(10)))</f>
        <v/>
      </c>
      <c r="I65" s="4">
        <f>IF($B65="","",SUBSTITUTE(INDEX('Données'!$H$2:$H$103,MATCH($B65,'Données'!$A$2:$A$103,0))&amp;"","¶",CHAR(10)))</f>
        <v/>
      </c>
      <c r="J65" s="4">
        <f>IF($B65="","",SUBSTITUTE(INDEX('Données'!$I$2:$I$103,MATCH($B65,'Données'!$A$2:$A$103,0))&amp;"","¶",CHAR(10)))</f>
        <v/>
      </c>
      <c r="K65" s="4">
        <f>IF($B65="","",SUBSTITUTE(INDEX('Données'!$K$2:$K$103,MATCH($B65,'Données'!$A$2:$A$103,0))&amp;"","¶",CHAR(10)))</f>
        <v/>
      </c>
    </row>
    <row r="66">
      <c r="A66" s="4">
        <f>IF(B66="","",64)</f>
        <v/>
      </c>
      <c r="B66" s="2">
        <f>IFERROR(INDEX('Sélection'!$A$4:$A$105,MATCH(64,'Sélection'!$G$4:$G$105,0)),"")</f>
        <v/>
      </c>
      <c r="C66" s="2">
        <f>IF($B66="","",SUBSTITUTE(INDEX('Données'!$B$2:$B$103,MATCH($B66,'Données'!$A$2:$A$103,0))&amp;"","¶",CHAR(10)))</f>
        <v/>
      </c>
      <c r="D66" s="4">
        <f>IF($B66="","",SUBSTITUTE(INDEX('Données'!$C$2:$C$103,MATCH($B66,'Données'!$A$2:$A$103,0))&amp;"","¶",CHAR(10)))</f>
        <v/>
      </c>
      <c r="E66" s="4">
        <f>IF($B66="","",SUBSTITUTE(INDEX('Données'!$D$2:$D$103,MATCH($B66,'Données'!$A$2:$A$103,0))&amp;"","¶",CHAR(10)))</f>
        <v/>
      </c>
      <c r="F66" s="4">
        <f>IF($B66="","",SUBSTITUTE(INDEX('Données'!$E$2:$E$103,MATCH($B66,'Données'!$A$2:$A$103,0))&amp;"","¶",CHAR(10)))</f>
        <v/>
      </c>
      <c r="G66" s="4">
        <f>IF($B66="","",SUBSTITUTE(INDEX('Données'!$F$2:$F$103,MATCH($B66,'Données'!$A$2:$A$103,0))&amp;"","¶",CHAR(10)))</f>
        <v/>
      </c>
      <c r="H66" s="4">
        <f>IF($B66="","",SUBSTITUTE(INDEX('Données'!$G$2:$G$103,MATCH($B66,'Données'!$A$2:$A$103,0))&amp;"","¶",CHAR(10)))</f>
        <v/>
      </c>
      <c r="I66" s="4">
        <f>IF($B66="","",SUBSTITUTE(INDEX('Données'!$H$2:$H$103,MATCH($B66,'Données'!$A$2:$A$103,0))&amp;"","¶",CHAR(10)))</f>
        <v/>
      </c>
      <c r="J66" s="4">
        <f>IF($B66="","",SUBSTITUTE(INDEX('Données'!$I$2:$I$103,MATCH($B66,'Données'!$A$2:$A$103,0))&amp;"","¶",CHAR(10)))</f>
        <v/>
      </c>
      <c r="K66" s="4">
        <f>IF($B66="","",SUBSTITUTE(INDEX('Données'!$K$2:$K$103,MATCH($B66,'Données'!$A$2:$A$103,0))&amp;"","¶",CHAR(10)))</f>
        <v/>
      </c>
    </row>
    <row r="67">
      <c r="A67" s="4">
        <f>IF(B67="","",65)</f>
        <v/>
      </c>
      <c r="B67" s="2">
        <f>IFERROR(INDEX('Sélection'!$A$4:$A$105,MATCH(65,'Sélection'!$G$4:$G$105,0)),"")</f>
        <v/>
      </c>
      <c r="C67" s="2">
        <f>IF($B67="","",SUBSTITUTE(INDEX('Données'!$B$2:$B$103,MATCH($B67,'Données'!$A$2:$A$103,0))&amp;"","¶",CHAR(10)))</f>
        <v/>
      </c>
      <c r="D67" s="4">
        <f>IF($B67="","",SUBSTITUTE(INDEX('Données'!$C$2:$C$103,MATCH($B67,'Données'!$A$2:$A$103,0))&amp;"","¶",CHAR(10)))</f>
        <v/>
      </c>
      <c r="E67" s="4">
        <f>IF($B67="","",SUBSTITUTE(INDEX('Données'!$D$2:$D$103,MATCH($B67,'Données'!$A$2:$A$103,0))&amp;"","¶",CHAR(10)))</f>
        <v/>
      </c>
      <c r="F67" s="4">
        <f>IF($B67="","",SUBSTITUTE(INDEX('Données'!$E$2:$E$103,MATCH($B67,'Données'!$A$2:$A$103,0))&amp;"","¶",CHAR(10)))</f>
        <v/>
      </c>
      <c r="G67" s="4">
        <f>IF($B67="","",SUBSTITUTE(INDEX('Données'!$F$2:$F$103,MATCH($B67,'Données'!$A$2:$A$103,0))&amp;"","¶",CHAR(10)))</f>
        <v/>
      </c>
      <c r="H67" s="4">
        <f>IF($B67="","",SUBSTITUTE(INDEX('Données'!$G$2:$G$103,MATCH($B67,'Données'!$A$2:$A$103,0))&amp;"","¶",CHAR(10)))</f>
        <v/>
      </c>
      <c r="I67" s="4">
        <f>IF($B67="","",SUBSTITUTE(INDEX('Données'!$H$2:$H$103,MATCH($B67,'Données'!$A$2:$A$103,0))&amp;"","¶",CHAR(10)))</f>
        <v/>
      </c>
      <c r="J67" s="4">
        <f>IF($B67="","",SUBSTITUTE(INDEX('Données'!$I$2:$I$103,MATCH($B67,'Données'!$A$2:$A$103,0))&amp;"","¶",CHAR(10)))</f>
        <v/>
      </c>
      <c r="K67" s="4">
        <f>IF($B67="","",SUBSTITUTE(INDEX('Données'!$K$2:$K$103,MATCH($B67,'Données'!$A$2:$A$103,0))&amp;"","¶",CHAR(10)))</f>
        <v/>
      </c>
    </row>
    <row r="68">
      <c r="A68" s="4">
        <f>IF(B68="","",66)</f>
        <v/>
      </c>
      <c r="B68" s="2">
        <f>IFERROR(INDEX('Sélection'!$A$4:$A$105,MATCH(66,'Sélection'!$G$4:$G$105,0)),"")</f>
        <v/>
      </c>
      <c r="C68" s="2">
        <f>IF($B68="","",SUBSTITUTE(INDEX('Données'!$B$2:$B$103,MATCH($B68,'Données'!$A$2:$A$103,0))&amp;"","¶",CHAR(10)))</f>
        <v/>
      </c>
      <c r="D68" s="4">
        <f>IF($B68="","",SUBSTITUTE(INDEX('Données'!$C$2:$C$103,MATCH($B68,'Données'!$A$2:$A$103,0))&amp;"","¶",CHAR(10)))</f>
        <v/>
      </c>
      <c r="E68" s="4">
        <f>IF($B68="","",SUBSTITUTE(INDEX('Données'!$D$2:$D$103,MATCH($B68,'Données'!$A$2:$A$103,0))&amp;"","¶",CHAR(10)))</f>
        <v/>
      </c>
      <c r="F68" s="4">
        <f>IF($B68="","",SUBSTITUTE(INDEX('Données'!$E$2:$E$103,MATCH($B68,'Données'!$A$2:$A$103,0))&amp;"","¶",CHAR(10)))</f>
        <v/>
      </c>
      <c r="G68" s="4">
        <f>IF($B68="","",SUBSTITUTE(INDEX('Données'!$F$2:$F$103,MATCH($B68,'Données'!$A$2:$A$103,0))&amp;"","¶",CHAR(10)))</f>
        <v/>
      </c>
      <c r="H68" s="4">
        <f>IF($B68="","",SUBSTITUTE(INDEX('Données'!$G$2:$G$103,MATCH($B68,'Données'!$A$2:$A$103,0))&amp;"","¶",CHAR(10)))</f>
        <v/>
      </c>
      <c r="I68" s="4">
        <f>IF($B68="","",SUBSTITUTE(INDEX('Données'!$H$2:$H$103,MATCH($B68,'Données'!$A$2:$A$103,0))&amp;"","¶",CHAR(10)))</f>
        <v/>
      </c>
      <c r="J68" s="4">
        <f>IF($B68="","",SUBSTITUTE(INDEX('Données'!$I$2:$I$103,MATCH($B68,'Données'!$A$2:$A$103,0))&amp;"","¶",CHAR(10)))</f>
        <v/>
      </c>
      <c r="K68" s="4">
        <f>IF($B68="","",SUBSTITUTE(INDEX('Données'!$K$2:$K$103,MATCH($B68,'Données'!$A$2:$A$103,0))&amp;"","¶",CHAR(10)))</f>
        <v/>
      </c>
    </row>
    <row r="69">
      <c r="A69" s="4">
        <f>IF(B69="","",67)</f>
        <v/>
      </c>
      <c r="B69" s="2">
        <f>IFERROR(INDEX('Sélection'!$A$4:$A$105,MATCH(67,'Sélection'!$G$4:$G$105,0)),"")</f>
        <v/>
      </c>
      <c r="C69" s="2">
        <f>IF($B69="","",SUBSTITUTE(INDEX('Données'!$B$2:$B$103,MATCH($B69,'Données'!$A$2:$A$103,0))&amp;"","¶",CHAR(10)))</f>
        <v/>
      </c>
      <c r="D69" s="4">
        <f>IF($B69="","",SUBSTITUTE(INDEX('Données'!$C$2:$C$103,MATCH($B69,'Données'!$A$2:$A$103,0))&amp;"","¶",CHAR(10)))</f>
        <v/>
      </c>
      <c r="E69" s="4">
        <f>IF($B69="","",SUBSTITUTE(INDEX('Données'!$D$2:$D$103,MATCH($B69,'Données'!$A$2:$A$103,0))&amp;"","¶",CHAR(10)))</f>
        <v/>
      </c>
      <c r="F69" s="4">
        <f>IF($B69="","",SUBSTITUTE(INDEX('Données'!$E$2:$E$103,MATCH($B69,'Données'!$A$2:$A$103,0))&amp;"","¶",CHAR(10)))</f>
        <v/>
      </c>
      <c r="G69" s="4">
        <f>IF($B69="","",SUBSTITUTE(INDEX('Données'!$F$2:$F$103,MATCH($B69,'Données'!$A$2:$A$103,0))&amp;"","¶",CHAR(10)))</f>
        <v/>
      </c>
      <c r="H69" s="4">
        <f>IF($B69="","",SUBSTITUTE(INDEX('Données'!$G$2:$G$103,MATCH($B69,'Données'!$A$2:$A$103,0))&amp;"","¶",CHAR(10)))</f>
        <v/>
      </c>
      <c r="I69" s="4">
        <f>IF($B69="","",SUBSTITUTE(INDEX('Données'!$H$2:$H$103,MATCH($B69,'Données'!$A$2:$A$103,0))&amp;"","¶",CHAR(10)))</f>
        <v/>
      </c>
      <c r="J69" s="4">
        <f>IF($B69="","",SUBSTITUTE(INDEX('Données'!$I$2:$I$103,MATCH($B69,'Données'!$A$2:$A$103,0))&amp;"","¶",CHAR(10)))</f>
        <v/>
      </c>
      <c r="K69" s="4">
        <f>IF($B69="","",SUBSTITUTE(INDEX('Données'!$K$2:$K$103,MATCH($B69,'Données'!$A$2:$A$103,0))&amp;"","¶",CHAR(10)))</f>
        <v/>
      </c>
    </row>
    <row r="70">
      <c r="A70" s="4">
        <f>IF(B70="","",68)</f>
        <v/>
      </c>
      <c r="B70" s="2">
        <f>IFERROR(INDEX('Sélection'!$A$4:$A$105,MATCH(68,'Sélection'!$G$4:$G$105,0)),"")</f>
        <v/>
      </c>
      <c r="C70" s="2">
        <f>IF($B70="","",SUBSTITUTE(INDEX('Données'!$B$2:$B$103,MATCH($B70,'Données'!$A$2:$A$103,0))&amp;"","¶",CHAR(10)))</f>
        <v/>
      </c>
      <c r="D70" s="4">
        <f>IF($B70="","",SUBSTITUTE(INDEX('Données'!$C$2:$C$103,MATCH($B70,'Données'!$A$2:$A$103,0))&amp;"","¶",CHAR(10)))</f>
        <v/>
      </c>
      <c r="E70" s="4">
        <f>IF($B70="","",SUBSTITUTE(INDEX('Données'!$D$2:$D$103,MATCH($B70,'Données'!$A$2:$A$103,0))&amp;"","¶",CHAR(10)))</f>
        <v/>
      </c>
      <c r="F70" s="4">
        <f>IF($B70="","",SUBSTITUTE(INDEX('Données'!$E$2:$E$103,MATCH($B70,'Données'!$A$2:$A$103,0))&amp;"","¶",CHAR(10)))</f>
        <v/>
      </c>
      <c r="G70" s="4">
        <f>IF($B70="","",SUBSTITUTE(INDEX('Données'!$F$2:$F$103,MATCH($B70,'Données'!$A$2:$A$103,0))&amp;"","¶",CHAR(10)))</f>
        <v/>
      </c>
      <c r="H70" s="4">
        <f>IF($B70="","",SUBSTITUTE(INDEX('Données'!$G$2:$G$103,MATCH($B70,'Données'!$A$2:$A$103,0))&amp;"","¶",CHAR(10)))</f>
        <v/>
      </c>
      <c r="I70" s="4">
        <f>IF($B70="","",SUBSTITUTE(INDEX('Données'!$H$2:$H$103,MATCH($B70,'Données'!$A$2:$A$103,0))&amp;"","¶",CHAR(10)))</f>
        <v/>
      </c>
      <c r="J70" s="4">
        <f>IF($B70="","",SUBSTITUTE(INDEX('Données'!$I$2:$I$103,MATCH($B70,'Données'!$A$2:$A$103,0))&amp;"","¶",CHAR(10)))</f>
        <v/>
      </c>
      <c r="K70" s="4">
        <f>IF($B70="","",SUBSTITUTE(INDEX('Données'!$K$2:$K$103,MATCH($B70,'Données'!$A$2:$A$103,0))&amp;"","¶",CHAR(10)))</f>
        <v/>
      </c>
    </row>
    <row r="71">
      <c r="A71" s="4">
        <f>IF(B71="","",69)</f>
        <v/>
      </c>
      <c r="B71" s="2">
        <f>IFERROR(INDEX('Sélection'!$A$4:$A$105,MATCH(69,'Sélection'!$G$4:$G$105,0)),"")</f>
        <v/>
      </c>
      <c r="C71" s="2">
        <f>IF($B71="","",SUBSTITUTE(INDEX('Données'!$B$2:$B$103,MATCH($B71,'Données'!$A$2:$A$103,0))&amp;"","¶",CHAR(10)))</f>
        <v/>
      </c>
      <c r="D71" s="4">
        <f>IF($B71="","",SUBSTITUTE(INDEX('Données'!$C$2:$C$103,MATCH($B71,'Données'!$A$2:$A$103,0))&amp;"","¶",CHAR(10)))</f>
        <v/>
      </c>
      <c r="E71" s="4">
        <f>IF($B71="","",SUBSTITUTE(INDEX('Données'!$D$2:$D$103,MATCH($B71,'Données'!$A$2:$A$103,0))&amp;"","¶",CHAR(10)))</f>
        <v/>
      </c>
      <c r="F71" s="4">
        <f>IF($B71="","",SUBSTITUTE(INDEX('Données'!$E$2:$E$103,MATCH($B71,'Données'!$A$2:$A$103,0))&amp;"","¶",CHAR(10)))</f>
        <v/>
      </c>
      <c r="G71" s="4">
        <f>IF($B71="","",SUBSTITUTE(INDEX('Données'!$F$2:$F$103,MATCH($B71,'Données'!$A$2:$A$103,0))&amp;"","¶",CHAR(10)))</f>
        <v/>
      </c>
      <c r="H71" s="4">
        <f>IF($B71="","",SUBSTITUTE(INDEX('Données'!$G$2:$G$103,MATCH($B71,'Données'!$A$2:$A$103,0))&amp;"","¶",CHAR(10)))</f>
        <v/>
      </c>
      <c r="I71" s="4">
        <f>IF($B71="","",SUBSTITUTE(INDEX('Données'!$H$2:$H$103,MATCH($B71,'Données'!$A$2:$A$103,0))&amp;"","¶",CHAR(10)))</f>
        <v/>
      </c>
      <c r="J71" s="4">
        <f>IF($B71="","",SUBSTITUTE(INDEX('Données'!$I$2:$I$103,MATCH($B71,'Données'!$A$2:$A$103,0))&amp;"","¶",CHAR(10)))</f>
        <v/>
      </c>
      <c r="K71" s="4">
        <f>IF($B71="","",SUBSTITUTE(INDEX('Données'!$K$2:$K$103,MATCH($B71,'Données'!$A$2:$A$103,0))&amp;"","¶",CHAR(10)))</f>
        <v/>
      </c>
    </row>
    <row r="72">
      <c r="A72" s="4">
        <f>IF(B72="","",70)</f>
        <v/>
      </c>
      <c r="B72" s="2">
        <f>IFERROR(INDEX('Sélection'!$A$4:$A$105,MATCH(70,'Sélection'!$G$4:$G$105,0)),"")</f>
        <v/>
      </c>
      <c r="C72" s="2">
        <f>IF($B72="","",SUBSTITUTE(INDEX('Données'!$B$2:$B$103,MATCH($B72,'Données'!$A$2:$A$103,0))&amp;"","¶",CHAR(10)))</f>
        <v/>
      </c>
      <c r="D72" s="4">
        <f>IF($B72="","",SUBSTITUTE(INDEX('Données'!$C$2:$C$103,MATCH($B72,'Données'!$A$2:$A$103,0))&amp;"","¶",CHAR(10)))</f>
        <v/>
      </c>
      <c r="E72" s="4">
        <f>IF($B72="","",SUBSTITUTE(INDEX('Données'!$D$2:$D$103,MATCH($B72,'Données'!$A$2:$A$103,0))&amp;"","¶",CHAR(10)))</f>
        <v/>
      </c>
      <c r="F72" s="4">
        <f>IF($B72="","",SUBSTITUTE(INDEX('Données'!$E$2:$E$103,MATCH($B72,'Données'!$A$2:$A$103,0))&amp;"","¶",CHAR(10)))</f>
        <v/>
      </c>
      <c r="G72" s="4">
        <f>IF($B72="","",SUBSTITUTE(INDEX('Données'!$F$2:$F$103,MATCH($B72,'Données'!$A$2:$A$103,0))&amp;"","¶",CHAR(10)))</f>
        <v/>
      </c>
      <c r="H72" s="4">
        <f>IF($B72="","",SUBSTITUTE(INDEX('Données'!$G$2:$G$103,MATCH($B72,'Données'!$A$2:$A$103,0))&amp;"","¶",CHAR(10)))</f>
        <v/>
      </c>
      <c r="I72" s="4">
        <f>IF($B72="","",SUBSTITUTE(INDEX('Données'!$H$2:$H$103,MATCH($B72,'Données'!$A$2:$A$103,0))&amp;"","¶",CHAR(10)))</f>
        <v/>
      </c>
      <c r="J72" s="4">
        <f>IF($B72="","",SUBSTITUTE(INDEX('Données'!$I$2:$I$103,MATCH($B72,'Données'!$A$2:$A$103,0))&amp;"","¶",CHAR(10)))</f>
        <v/>
      </c>
      <c r="K72" s="4">
        <f>IF($B72="","",SUBSTITUTE(INDEX('Données'!$K$2:$K$103,MATCH($B72,'Données'!$A$2:$A$103,0))&amp;"","¶",CHAR(10)))</f>
        <v/>
      </c>
    </row>
    <row r="73">
      <c r="A73" s="4">
        <f>IF(B73="","",71)</f>
        <v/>
      </c>
      <c r="B73" s="2">
        <f>IFERROR(INDEX('Sélection'!$A$4:$A$105,MATCH(71,'Sélection'!$G$4:$G$105,0)),"")</f>
        <v/>
      </c>
      <c r="C73" s="2">
        <f>IF($B73="","",SUBSTITUTE(INDEX('Données'!$B$2:$B$103,MATCH($B73,'Données'!$A$2:$A$103,0))&amp;"","¶",CHAR(10)))</f>
        <v/>
      </c>
      <c r="D73" s="4">
        <f>IF($B73="","",SUBSTITUTE(INDEX('Données'!$C$2:$C$103,MATCH($B73,'Données'!$A$2:$A$103,0))&amp;"","¶",CHAR(10)))</f>
        <v/>
      </c>
      <c r="E73" s="4">
        <f>IF($B73="","",SUBSTITUTE(INDEX('Données'!$D$2:$D$103,MATCH($B73,'Données'!$A$2:$A$103,0))&amp;"","¶",CHAR(10)))</f>
        <v/>
      </c>
      <c r="F73" s="4">
        <f>IF($B73="","",SUBSTITUTE(INDEX('Données'!$E$2:$E$103,MATCH($B73,'Données'!$A$2:$A$103,0))&amp;"","¶",CHAR(10)))</f>
        <v/>
      </c>
      <c r="G73" s="4">
        <f>IF($B73="","",SUBSTITUTE(INDEX('Données'!$F$2:$F$103,MATCH($B73,'Données'!$A$2:$A$103,0))&amp;"","¶",CHAR(10)))</f>
        <v/>
      </c>
      <c r="H73" s="4">
        <f>IF($B73="","",SUBSTITUTE(INDEX('Données'!$G$2:$G$103,MATCH($B73,'Données'!$A$2:$A$103,0))&amp;"","¶",CHAR(10)))</f>
        <v/>
      </c>
      <c r="I73" s="4">
        <f>IF($B73="","",SUBSTITUTE(INDEX('Données'!$H$2:$H$103,MATCH($B73,'Données'!$A$2:$A$103,0))&amp;"","¶",CHAR(10)))</f>
        <v/>
      </c>
      <c r="J73" s="4">
        <f>IF($B73="","",SUBSTITUTE(INDEX('Données'!$I$2:$I$103,MATCH($B73,'Données'!$A$2:$A$103,0))&amp;"","¶",CHAR(10)))</f>
        <v/>
      </c>
      <c r="K73" s="4">
        <f>IF($B73="","",SUBSTITUTE(INDEX('Données'!$K$2:$K$103,MATCH($B73,'Données'!$A$2:$A$103,0))&amp;"","¶",CHAR(10)))</f>
        <v/>
      </c>
    </row>
    <row r="74">
      <c r="A74" s="4">
        <f>IF(B74="","",72)</f>
        <v/>
      </c>
      <c r="B74" s="2">
        <f>IFERROR(INDEX('Sélection'!$A$4:$A$105,MATCH(72,'Sélection'!$G$4:$G$105,0)),"")</f>
        <v/>
      </c>
      <c r="C74" s="2">
        <f>IF($B74="","",SUBSTITUTE(INDEX('Données'!$B$2:$B$103,MATCH($B74,'Données'!$A$2:$A$103,0))&amp;"","¶",CHAR(10)))</f>
        <v/>
      </c>
      <c r="D74" s="4">
        <f>IF($B74="","",SUBSTITUTE(INDEX('Données'!$C$2:$C$103,MATCH($B74,'Données'!$A$2:$A$103,0))&amp;"","¶",CHAR(10)))</f>
        <v/>
      </c>
      <c r="E74" s="4">
        <f>IF($B74="","",SUBSTITUTE(INDEX('Données'!$D$2:$D$103,MATCH($B74,'Données'!$A$2:$A$103,0))&amp;"","¶",CHAR(10)))</f>
        <v/>
      </c>
      <c r="F74" s="4">
        <f>IF($B74="","",SUBSTITUTE(INDEX('Données'!$E$2:$E$103,MATCH($B74,'Données'!$A$2:$A$103,0))&amp;"","¶",CHAR(10)))</f>
        <v/>
      </c>
      <c r="G74" s="4">
        <f>IF($B74="","",SUBSTITUTE(INDEX('Données'!$F$2:$F$103,MATCH($B74,'Données'!$A$2:$A$103,0))&amp;"","¶",CHAR(10)))</f>
        <v/>
      </c>
      <c r="H74" s="4">
        <f>IF($B74="","",SUBSTITUTE(INDEX('Données'!$G$2:$G$103,MATCH($B74,'Données'!$A$2:$A$103,0))&amp;"","¶",CHAR(10)))</f>
        <v/>
      </c>
      <c r="I74" s="4">
        <f>IF($B74="","",SUBSTITUTE(INDEX('Données'!$H$2:$H$103,MATCH($B74,'Données'!$A$2:$A$103,0))&amp;"","¶",CHAR(10)))</f>
        <v/>
      </c>
      <c r="J74" s="4">
        <f>IF($B74="","",SUBSTITUTE(INDEX('Données'!$I$2:$I$103,MATCH($B74,'Données'!$A$2:$A$103,0))&amp;"","¶",CHAR(10)))</f>
        <v/>
      </c>
      <c r="K74" s="4">
        <f>IF($B74="","",SUBSTITUTE(INDEX('Données'!$K$2:$K$103,MATCH($B74,'Données'!$A$2:$A$103,0))&amp;"","¶",CHAR(10)))</f>
        <v/>
      </c>
    </row>
    <row r="75">
      <c r="A75" s="4">
        <f>IF(B75="","",73)</f>
        <v/>
      </c>
      <c r="B75" s="2">
        <f>IFERROR(INDEX('Sélection'!$A$4:$A$105,MATCH(73,'Sélection'!$G$4:$G$105,0)),"")</f>
        <v/>
      </c>
      <c r="C75" s="2">
        <f>IF($B75="","",SUBSTITUTE(INDEX('Données'!$B$2:$B$103,MATCH($B75,'Données'!$A$2:$A$103,0))&amp;"","¶",CHAR(10)))</f>
        <v/>
      </c>
      <c r="D75" s="4">
        <f>IF($B75="","",SUBSTITUTE(INDEX('Données'!$C$2:$C$103,MATCH($B75,'Données'!$A$2:$A$103,0))&amp;"","¶",CHAR(10)))</f>
        <v/>
      </c>
      <c r="E75" s="4">
        <f>IF($B75="","",SUBSTITUTE(INDEX('Données'!$D$2:$D$103,MATCH($B75,'Données'!$A$2:$A$103,0))&amp;"","¶",CHAR(10)))</f>
        <v/>
      </c>
      <c r="F75" s="4">
        <f>IF($B75="","",SUBSTITUTE(INDEX('Données'!$E$2:$E$103,MATCH($B75,'Données'!$A$2:$A$103,0))&amp;"","¶",CHAR(10)))</f>
        <v/>
      </c>
      <c r="G75" s="4">
        <f>IF($B75="","",SUBSTITUTE(INDEX('Données'!$F$2:$F$103,MATCH($B75,'Données'!$A$2:$A$103,0))&amp;"","¶",CHAR(10)))</f>
        <v/>
      </c>
      <c r="H75" s="4">
        <f>IF($B75="","",SUBSTITUTE(INDEX('Données'!$G$2:$G$103,MATCH($B75,'Données'!$A$2:$A$103,0))&amp;"","¶",CHAR(10)))</f>
        <v/>
      </c>
      <c r="I75" s="4">
        <f>IF($B75="","",SUBSTITUTE(INDEX('Données'!$H$2:$H$103,MATCH($B75,'Données'!$A$2:$A$103,0))&amp;"","¶",CHAR(10)))</f>
        <v/>
      </c>
      <c r="J75" s="4">
        <f>IF($B75="","",SUBSTITUTE(INDEX('Données'!$I$2:$I$103,MATCH($B75,'Données'!$A$2:$A$103,0))&amp;"","¶",CHAR(10)))</f>
        <v/>
      </c>
      <c r="K75" s="4">
        <f>IF($B75="","",SUBSTITUTE(INDEX('Données'!$K$2:$K$103,MATCH($B75,'Données'!$A$2:$A$103,0))&amp;"","¶",CHAR(10)))</f>
        <v/>
      </c>
    </row>
    <row r="76">
      <c r="A76" s="4">
        <f>IF(B76="","",74)</f>
        <v/>
      </c>
      <c r="B76" s="2">
        <f>IFERROR(INDEX('Sélection'!$A$4:$A$105,MATCH(74,'Sélection'!$G$4:$G$105,0)),"")</f>
        <v/>
      </c>
      <c r="C76" s="2">
        <f>IF($B76="","",SUBSTITUTE(INDEX('Données'!$B$2:$B$103,MATCH($B76,'Données'!$A$2:$A$103,0))&amp;"","¶",CHAR(10)))</f>
        <v/>
      </c>
      <c r="D76" s="4">
        <f>IF($B76="","",SUBSTITUTE(INDEX('Données'!$C$2:$C$103,MATCH($B76,'Données'!$A$2:$A$103,0))&amp;"","¶",CHAR(10)))</f>
        <v/>
      </c>
      <c r="E76" s="4">
        <f>IF($B76="","",SUBSTITUTE(INDEX('Données'!$D$2:$D$103,MATCH($B76,'Données'!$A$2:$A$103,0))&amp;"","¶",CHAR(10)))</f>
        <v/>
      </c>
      <c r="F76" s="4">
        <f>IF($B76="","",SUBSTITUTE(INDEX('Données'!$E$2:$E$103,MATCH($B76,'Données'!$A$2:$A$103,0))&amp;"","¶",CHAR(10)))</f>
        <v/>
      </c>
      <c r="G76" s="4">
        <f>IF($B76="","",SUBSTITUTE(INDEX('Données'!$F$2:$F$103,MATCH($B76,'Données'!$A$2:$A$103,0))&amp;"","¶",CHAR(10)))</f>
        <v/>
      </c>
      <c r="H76" s="4">
        <f>IF($B76="","",SUBSTITUTE(INDEX('Données'!$G$2:$G$103,MATCH($B76,'Données'!$A$2:$A$103,0))&amp;"","¶",CHAR(10)))</f>
        <v/>
      </c>
      <c r="I76" s="4">
        <f>IF($B76="","",SUBSTITUTE(INDEX('Données'!$H$2:$H$103,MATCH($B76,'Données'!$A$2:$A$103,0))&amp;"","¶",CHAR(10)))</f>
        <v/>
      </c>
      <c r="J76" s="4">
        <f>IF($B76="","",SUBSTITUTE(INDEX('Données'!$I$2:$I$103,MATCH($B76,'Données'!$A$2:$A$103,0))&amp;"","¶",CHAR(10)))</f>
        <v/>
      </c>
      <c r="K76" s="4">
        <f>IF($B76="","",SUBSTITUTE(INDEX('Données'!$K$2:$K$103,MATCH($B76,'Données'!$A$2:$A$103,0))&amp;"","¶",CHAR(10)))</f>
        <v/>
      </c>
    </row>
    <row r="77">
      <c r="A77" s="4">
        <f>IF(B77="","",75)</f>
        <v/>
      </c>
      <c r="B77" s="2">
        <f>IFERROR(INDEX('Sélection'!$A$4:$A$105,MATCH(75,'Sélection'!$G$4:$G$105,0)),"")</f>
        <v/>
      </c>
      <c r="C77" s="2">
        <f>IF($B77="","",SUBSTITUTE(INDEX('Données'!$B$2:$B$103,MATCH($B77,'Données'!$A$2:$A$103,0))&amp;"","¶",CHAR(10)))</f>
        <v/>
      </c>
      <c r="D77" s="4">
        <f>IF($B77="","",SUBSTITUTE(INDEX('Données'!$C$2:$C$103,MATCH($B77,'Données'!$A$2:$A$103,0))&amp;"","¶",CHAR(10)))</f>
        <v/>
      </c>
      <c r="E77" s="4">
        <f>IF($B77="","",SUBSTITUTE(INDEX('Données'!$D$2:$D$103,MATCH($B77,'Données'!$A$2:$A$103,0))&amp;"","¶",CHAR(10)))</f>
        <v/>
      </c>
      <c r="F77" s="4">
        <f>IF($B77="","",SUBSTITUTE(INDEX('Données'!$E$2:$E$103,MATCH($B77,'Données'!$A$2:$A$103,0))&amp;"","¶",CHAR(10)))</f>
        <v/>
      </c>
      <c r="G77" s="4">
        <f>IF($B77="","",SUBSTITUTE(INDEX('Données'!$F$2:$F$103,MATCH($B77,'Données'!$A$2:$A$103,0))&amp;"","¶",CHAR(10)))</f>
        <v/>
      </c>
      <c r="H77" s="4">
        <f>IF($B77="","",SUBSTITUTE(INDEX('Données'!$G$2:$G$103,MATCH($B77,'Données'!$A$2:$A$103,0))&amp;"","¶",CHAR(10)))</f>
        <v/>
      </c>
      <c r="I77" s="4">
        <f>IF($B77="","",SUBSTITUTE(INDEX('Données'!$H$2:$H$103,MATCH($B77,'Données'!$A$2:$A$103,0))&amp;"","¶",CHAR(10)))</f>
        <v/>
      </c>
      <c r="J77" s="4">
        <f>IF($B77="","",SUBSTITUTE(INDEX('Données'!$I$2:$I$103,MATCH($B77,'Données'!$A$2:$A$103,0))&amp;"","¶",CHAR(10)))</f>
        <v/>
      </c>
      <c r="K77" s="4">
        <f>IF($B77="","",SUBSTITUTE(INDEX('Données'!$K$2:$K$103,MATCH($B77,'Données'!$A$2:$A$103,0))&amp;"","¶",CHAR(10)))</f>
        <v/>
      </c>
    </row>
    <row r="78">
      <c r="A78" s="4">
        <f>IF(B78="","",76)</f>
        <v/>
      </c>
      <c r="B78" s="2">
        <f>IFERROR(INDEX('Sélection'!$A$4:$A$105,MATCH(76,'Sélection'!$G$4:$G$105,0)),"")</f>
        <v/>
      </c>
      <c r="C78" s="2">
        <f>IF($B78="","",SUBSTITUTE(INDEX('Données'!$B$2:$B$103,MATCH($B78,'Données'!$A$2:$A$103,0))&amp;"","¶",CHAR(10)))</f>
        <v/>
      </c>
      <c r="D78" s="4">
        <f>IF($B78="","",SUBSTITUTE(INDEX('Données'!$C$2:$C$103,MATCH($B78,'Données'!$A$2:$A$103,0))&amp;"","¶",CHAR(10)))</f>
        <v/>
      </c>
      <c r="E78" s="4">
        <f>IF($B78="","",SUBSTITUTE(INDEX('Données'!$D$2:$D$103,MATCH($B78,'Données'!$A$2:$A$103,0))&amp;"","¶",CHAR(10)))</f>
        <v/>
      </c>
      <c r="F78" s="4">
        <f>IF($B78="","",SUBSTITUTE(INDEX('Données'!$E$2:$E$103,MATCH($B78,'Données'!$A$2:$A$103,0))&amp;"","¶",CHAR(10)))</f>
        <v/>
      </c>
      <c r="G78" s="4">
        <f>IF($B78="","",SUBSTITUTE(INDEX('Données'!$F$2:$F$103,MATCH($B78,'Données'!$A$2:$A$103,0))&amp;"","¶",CHAR(10)))</f>
        <v/>
      </c>
      <c r="H78" s="4">
        <f>IF($B78="","",SUBSTITUTE(INDEX('Données'!$G$2:$G$103,MATCH($B78,'Données'!$A$2:$A$103,0))&amp;"","¶",CHAR(10)))</f>
        <v/>
      </c>
      <c r="I78" s="4">
        <f>IF($B78="","",SUBSTITUTE(INDEX('Données'!$H$2:$H$103,MATCH($B78,'Données'!$A$2:$A$103,0))&amp;"","¶",CHAR(10)))</f>
        <v/>
      </c>
      <c r="J78" s="4">
        <f>IF($B78="","",SUBSTITUTE(INDEX('Données'!$I$2:$I$103,MATCH($B78,'Données'!$A$2:$A$103,0))&amp;"","¶",CHAR(10)))</f>
        <v/>
      </c>
      <c r="K78" s="4">
        <f>IF($B78="","",SUBSTITUTE(INDEX('Données'!$K$2:$K$103,MATCH($B78,'Données'!$A$2:$A$103,0))&amp;"","¶",CHAR(10)))</f>
        <v/>
      </c>
    </row>
    <row r="79">
      <c r="A79" s="4">
        <f>IF(B79="","",77)</f>
        <v/>
      </c>
      <c r="B79" s="2">
        <f>IFERROR(INDEX('Sélection'!$A$4:$A$105,MATCH(77,'Sélection'!$G$4:$G$105,0)),"")</f>
        <v/>
      </c>
      <c r="C79" s="2">
        <f>IF($B79="","",SUBSTITUTE(INDEX('Données'!$B$2:$B$103,MATCH($B79,'Données'!$A$2:$A$103,0))&amp;"","¶",CHAR(10)))</f>
        <v/>
      </c>
      <c r="D79" s="4">
        <f>IF($B79="","",SUBSTITUTE(INDEX('Données'!$C$2:$C$103,MATCH($B79,'Données'!$A$2:$A$103,0))&amp;"","¶",CHAR(10)))</f>
        <v/>
      </c>
      <c r="E79" s="4">
        <f>IF($B79="","",SUBSTITUTE(INDEX('Données'!$D$2:$D$103,MATCH($B79,'Données'!$A$2:$A$103,0))&amp;"","¶",CHAR(10)))</f>
        <v/>
      </c>
      <c r="F79" s="4">
        <f>IF($B79="","",SUBSTITUTE(INDEX('Données'!$E$2:$E$103,MATCH($B79,'Données'!$A$2:$A$103,0))&amp;"","¶",CHAR(10)))</f>
        <v/>
      </c>
      <c r="G79" s="4">
        <f>IF($B79="","",SUBSTITUTE(INDEX('Données'!$F$2:$F$103,MATCH($B79,'Données'!$A$2:$A$103,0))&amp;"","¶",CHAR(10)))</f>
        <v/>
      </c>
      <c r="H79" s="4">
        <f>IF($B79="","",SUBSTITUTE(INDEX('Données'!$G$2:$G$103,MATCH($B79,'Données'!$A$2:$A$103,0))&amp;"","¶",CHAR(10)))</f>
        <v/>
      </c>
      <c r="I79" s="4">
        <f>IF($B79="","",SUBSTITUTE(INDEX('Données'!$H$2:$H$103,MATCH($B79,'Données'!$A$2:$A$103,0))&amp;"","¶",CHAR(10)))</f>
        <v/>
      </c>
      <c r="J79" s="4">
        <f>IF($B79="","",SUBSTITUTE(INDEX('Données'!$I$2:$I$103,MATCH($B79,'Données'!$A$2:$A$103,0))&amp;"","¶",CHAR(10)))</f>
        <v/>
      </c>
      <c r="K79" s="4">
        <f>IF($B79="","",SUBSTITUTE(INDEX('Données'!$K$2:$K$103,MATCH($B79,'Données'!$A$2:$A$103,0))&amp;"","¶",CHAR(10)))</f>
        <v/>
      </c>
    </row>
    <row r="80">
      <c r="A80" s="4">
        <f>IF(B80="","",78)</f>
        <v/>
      </c>
      <c r="B80" s="2">
        <f>IFERROR(INDEX('Sélection'!$A$4:$A$105,MATCH(78,'Sélection'!$G$4:$G$105,0)),"")</f>
        <v/>
      </c>
      <c r="C80" s="2">
        <f>IF($B80="","",SUBSTITUTE(INDEX('Données'!$B$2:$B$103,MATCH($B80,'Données'!$A$2:$A$103,0))&amp;"","¶",CHAR(10)))</f>
        <v/>
      </c>
      <c r="D80" s="4">
        <f>IF($B80="","",SUBSTITUTE(INDEX('Données'!$C$2:$C$103,MATCH($B80,'Données'!$A$2:$A$103,0))&amp;"","¶",CHAR(10)))</f>
        <v/>
      </c>
      <c r="E80" s="4">
        <f>IF($B80="","",SUBSTITUTE(INDEX('Données'!$D$2:$D$103,MATCH($B80,'Données'!$A$2:$A$103,0))&amp;"","¶",CHAR(10)))</f>
        <v/>
      </c>
      <c r="F80" s="4">
        <f>IF($B80="","",SUBSTITUTE(INDEX('Données'!$E$2:$E$103,MATCH($B80,'Données'!$A$2:$A$103,0))&amp;"","¶",CHAR(10)))</f>
        <v/>
      </c>
      <c r="G80" s="4">
        <f>IF($B80="","",SUBSTITUTE(INDEX('Données'!$F$2:$F$103,MATCH($B80,'Données'!$A$2:$A$103,0))&amp;"","¶",CHAR(10)))</f>
        <v/>
      </c>
      <c r="H80" s="4">
        <f>IF($B80="","",SUBSTITUTE(INDEX('Données'!$G$2:$G$103,MATCH($B80,'Données'!$A$2:$A$103,0))&amp;"","¶",CHAR(10)))</f>
        <v/>
      </c>
      <c r="I80" s="4">
        <f>IF($B80="","",SUBSTITUTE(INDEX('Données'!$H$2:$H$103,MATCH($B80,'Données'!$A$2:$A$103,0))&amp;"","¶",CHAR(10)))</f>
        <v/>
      </c>
      <c r="J80" s="4">
        <f>IF($B80="","",SUBSTITUTE(INDEX('Données'!$I$2:$I$103,MATCH($B80,'Données'!$A$2:$A$103,0))&amp;"","¶",CHAR(10)))</f>
        <v/>
      </c>
      <c r="K80" s="4">
        <f>IF($B80="","",SUBSTITUTE(INDEX('Données'!$K$2:$K$103,MATCH($B80,'Données'!$A$2:$A$103,0))&amp;"","¶",CHAR(10)))</f>
        <v/>
      </c>
    </row>
    <row r="81">
      <c r="A81" s="4">
        <f>IF(B81="","",79)</f>
        <v/>
      </c>
      <c r="B81" s="2">
        <f>IFERROR(INDEX('Sélection'!$A$4:$A$105,MATCH(79,'Sélection'!$G$4:$G$105,0)),"")</f>
        <v/>
      </c>
      <c r="C81" s="2">
        <f>IF($B81="","",SUBSTITUTE(INDEX('Données'!$B$2:$B$103,MATCH($B81,'Données'!$A$2:$A$103,0))&amp;"","¶",CHAR(10)))</f>
        <v/>
      </c>
      <c r="D81" s="4">
        <f>IF($B81="","",SUBSTITUTE(INDEX('Données'!$C$2:$C$103,MATCH($B81,'Données'!$A$2:$A$103,0))&amp;"","¶",CHAR(10)))</f>
        <v/>
      </c>
      <c r="E81" s="4">
        <f>IF($B81="","",SUBSTITUTE(INDEX('Données'!$D$2:$D$103,MATCH($B81,'Données'!$A$2:$A$103,0))&amp;"","¶",CHAR(10)))</f>
        <v/>
      </c>
      <c r="F81" s="4">
        <f>IF($B81="","",SUBSTITUTE(INDEX('Données'!$E$2:$E$103,MATCH($B81,'Données'!$A$2:$A$103,0))&amp;"","¶",CHAR(10)))</f>
        <v/>
      </c>
      <c r="G81" s="4">
        <f>IF($B81="","",SUBSTITUTE(INDEX('Données'!$F$2:$F$103,MATCH($B81,'Données'!$A$2:$A$103,0))&amp;"","¶",CHAR(10)))</f>
        <v/>
      </c>
      <c r="H81" s="4">
        <f>IF($B81="","",SUBSTITUTE(INDEX('Données'!$G$2:$G$103,MATCH($B81,'Données'!$A$2:$A$103,0))&amp;"","¶",CHAR(10)))</f>
        <v/>
      </c>
      <c r="I81" s="4">
        <f>IF($B81="","",SUBSTITUTE(INDEX('Données'!$H$2:$H$103,MATCH($B81,'Données'!$A$2:$A$103,0))&amp;"","¶",CHAR(10)))</f>
        <v/>
      </c>
      <c r="J81" s="4">
        <f>IF($B81="","",SUBSTITUTE(INDEX('Données'!$I$2:$I$103,MATCH($B81,'Données'!$A$2:$A$103,0))&amp;"","¶",CHAR(10)))</f>
        <v/>
      </c>
      <c r="K81" s="4">
        <f>IF($B81="","",SUBSTITUTE(INDEX('Données'!$K$2:$K$103,MATCH($B81,'Données'!$A$2:$A$103,0))&amp;"","¶",CHAR(10)))</f>
        <v/>
      </c>
    </row>
    <row r="82">
      <c r="A82" s="4">
        <f>IF(B82="","",80)</f>
        <v/>
      </c>
      <c r="B82" s="2">
        <f>IFERROR(INDEX('Sélection'!$A$4:$A$105,MATCH(80,'Sélection'!$G$4:$G$105,0)),"")</f>
        <v/>
      </c>
      <c r="C82" s="2">
        <f>IF($B82="","",SUBSTITUTE(INDEX('Données'!$B$2:$B$103,MATCH($B82,'Données'!$A$2:$A$103,0))&amp;"","¶",CHAR(10)))</f>
        <v/>
      </c>
      <c r="D82" s="4">
        <f>IF($B82="","",SUBSTITUTE(INDEX('Données'!$C$2:$C$103,MATCH($B82,'Données'!$A$2:$A$103,0))&amp;"","¶",CHAR(10)))</f>
        <v/>
      </c>
      <c r="E82" s="4">
        <f>IF($B82="","",SUBSTITUTE(INDEX('Données'!$D$2:$D$103,MATCH($B82,'Données'!$A$2:$A$103,0))&amp;"","¶",CHAR(10)))</f>
        <v/>
      </c>
      <c r="F82" s="4">
        <f>IF($B82="","",SUBSTITUTE(INDEX('Données'!$E$2:$E$103,MATCH($B82,'Données'!$A$2:$A$103,0))&amp;"","¶",CHAR(10)))</f>
        <v/>
      </c>
      <c r="G82" s="4">
        <f>IF($B82="","",SUBSTITUTE(INDEX('Données'!$F$2:$F$103,MATCH($B82,'Données'!$A$2:$A$103,0))&amp;"","¶",CHAR(10)))</f>
        <v/>
      </c>
      <c r="H82" s="4">
        <f>IF($B82="","",SUBSTITUTE(INDEX('Données'!$G$2:$G$103,MATCH($B82,'Données'!$A$2:$A$103,0))&amp;"","¶",CHAR(10)))</f>
        <v/>
      </c>
      <c r="I82" s="4">
        <f>IF($B82="","",SUBSTITUTE(INDEX('Données'!$H$2:$H$103,MATCH($B82,'Données'!$A$2:$A$103,0))&amp;"","¶",CHAR(10)))</f>
        <v/>
      </c>
      <c r="J82" s="4">
        <f>IF($B82="","",SUBSTITUTE(INDEX('Données'!$I$2:$I$103,MATCH($B82,'Données'!$A$2:$A$103,0))&amp;"","¶",CHAR(10)))</f>
        <v/>
      </c>
      <c r="K82" s="4">
        <f>IF($B82="","",SUBSTITUTE(INDEX('Données'!$K$2:$K$103,MATCH($B82,'Données'!$A$2:$A$103,0))&amp;"","¶",CHAR(10)))</f>
        <v/>
      </c>
    </row>
    <row r="83">
      <c r="A83" s="4">
        <f>IF(B83="","",81)</f>
        <v/>
      </c>
      <c r="B83" s="2">
        <f>IFERROR(INDEX('Sélection'!$A$4:$A$105,MATCH(81,'Sélection'!$G$4:$G$105,0)),"")</f>
        <v/>
      </c>
      <c r="C83" s="2">
        <f>IF($B83="","",SUBSTITUTE(INDEX('Données'!$B$2:$B$103,MATCH($B83,'Données'!$A$2:$A$103,0))&amp;"","¶",CHAR(10)))</f>
        <v/>
      </c>
      <c r="D83" s="4">
        <f>IF($B83="","",SUBSTITUTE(INDEX('Données'!$C$2:$C$103,MATCH($B83,'Données'!$A$2:$A$103,0))&amp;"","¶",CHAR(10)))</f>
        <v/>
      </c>
      <c r="E83" s="4">
        <f>IF($B83="","",SUBSTITUTE(INDEX('Données'!$D$2:$D$103,MATCH($B83,'Données'!$A$2:$A$103,0))&amp;"","¶",CHAR(10)))</f>
        <v/>
      </c>
      <c r="F83" s="4">
        <f>IF($B83="","",SUBSTITUTE(INDEX('Données'!$E$2:$E$103,MATCH($B83,'Données'!$A$2:$A$103,0))&amp;"","¶",CHAR(10)))</f>
        <v/>
      </c>
      <c r="G83" s="4">
        <f>IF($B83="","",SUBSTITUTE(INDEX('Données'!$F$2:$F$103,MATCH($B83,'Données'!$A$2:$A$103,0))&amp;"","¶",CHAR(10)))</f>
        <v/>
      </c>
      <c r="H83" s="4">
        <f>IF($B83="","",SUBSTITUTE(INDEX('Données'!$G$2:$G$103,MATCH($B83,'Données'!$A$2:$A$103,0))&amp;"","¶",CHAR(10)))</f>
        <v/>
      </c>
      <c r="I83" s="4">
        <f>IF($B83="","",SUBSTITUTE(INDEX('Données'!$H$2:$H$103,MATCH($B83,'Données'!$A$2:$A$103,0))&amp;"","¶",CHAR(10)))</f>
        <v/>
      </c>
      <c r="J83" s="4">
        <f>IF($B83="","",SUBSTITUTE(INDEX('Données'!$I$2:$I$103,MATCH($B83,'Données'!$A$2:$A$103,0))&amp;"","¶",CHAR(10)))</f>
        <v/>
      </c>
      <c r="K83" s="4">
        <f>IF($B83="","",SUBSTITUTE(INDEX('Données'!$K$2:$K$103,MATCH($B83,'Données'!$A$2:$A$103,0))&amp;"","¶",CHAR(10)))</f>
        <v/>
      </c>
    </row>
    <row r="84">
      <c r="A84" s="4">
        <f>IF(B84="","",82)</f>
        <v/>
      </c>
      <c r="B84" s="2">
        <f>IFERROR(INDEX('Sélection'!$A$4:$A$105,MATCH(82,'Sélection'!$G$4:$G$105,0)),"")</f>
        <v/>
      </c>
      <c r="C84" s="2">
        <f>IF($B84="","",SUBSTITUTE(INDEX('Données'!$B$2:$B$103,MATCH($B84,'Données'!$A$2:$A$103,0))&amp;"","¶",CHAR(10)))</f>
        <v/>
      </c>
      <c r="D84" s="4">
        <f>IF($B84="","",SUBSTITUTE(INDEX('Données'!$C$2:$C$103,MATCH($B84,'Données'!$A$2:$A$103,0))&amp;"","¶",CHAR(10)))</f>
        <v/>
      </c>
      <c r="E84" s="4">
        <f>IF($B84="","",SUBSTITUTE(INDEX('Données'!$D$2:$D$103,MATCH($B84,'Données'!$A$2:$A$103,0))&amp;"","¶",CHAR(10)))</f>
        <v/>
      </c>
      <c r="F84" s="4">
        <f>IF($B84="","",SUBSTITUTE(INDEX('Données'!$E$2:$E$103,MATCH($B84,'Données'!$A$2:$A$103,0))&amp;"","¶",CHAR(10)))</f>
        <v/>
      </c>
      <c r="G84" s="4">
        <f>IF($B84="","",SUBSTITUTE(INDEX('Données'!$F$2:$F$103,MATCH($B84,'Données'!$A$2:$A$103,0))&amp;"","¶",CHAR(10)))</f>
        <v/>
      </c>
      <c r="H84" s="4">
        <f>IF($B84="","",SUBSTITUTE(INDEX('Données'!$G$2:$G$103,MATCH($B84,'Données'!$A$2:$A$103,0))&amp;"","¶",CHAR(10)))</f>
        <v/>
      </c>
      <c r="I84" s="4">
        <f>IF($B84="","",SUBSTITUTE(INDEX('Données'!$H$2:$H$103,MATCH($B84,'Données'!$A$2:$A$103,0))&amp;"","¶",CHAR(10)))</f>
        <v/>
      </c>
      <c r="J84" s="4">
        <f>IF($B84="","",SUBSTITUTE(INDEX('Données'!$I$2:$I$103,MATCH($B84,'Données'!$A$2:$A$103,0))&amp;"","¶",CHAR(10)))</f>
        <v/>
      </c>
      <c r="K84" s="4">
        <f>IF($B84="","",SUBSTITUTE(INDEX('Données'!$K$2:$K$103,MATCH($B84,'Données'!$A$2:$A$103,0))&amp;"","¶",CHAR(10)))</f>
        <v/>
      </c>
    </row>
    <row r="85">
      <c r="A85" s="4">
        <f>IF(B85="","",83)</f>
        <v/>
      </c>
      <c r="B85" s="2">
        <f>IFERROR(INDEX('Sélection'!$A$4:$A$105,MATCH(83,'Sélection'!$G$4:$G$105,0)),"")</f>
        <v/>
      </c>
      <c r="C85" s="2">
        <f>IF($B85="","",SUBSTITUTE(INDEX('Données'!$B$2:$B$103,MATCH($B85,'Données'!$A$2:$A$103,0))&amp;"","¶",CHAR(10)))</f>
        <v/>
      </c>
      <c r="D85" s="4">
        <f>IF($B85="","",SUBSTITUTE(INDEX('Données'!$C$2:$C$103,MATCH($B85,'Données'!$A$2:$A$103,0))&amp;"","¶",CHAR(10)))</f>
        <v/>
      </c>
      <c r="E85" s="4">
        <f>IF($B85="","",SUBSTITUTE(INDEX('Données'!$D$2:$D$103,MATCH($B85,'Données'!$A$2:$A$103,0))&amp;"","¶",CHAR(10)))</f>
        <v/>
      </c>
      <c r="F85" s="4">
        <f>IF($B85="","",SUBSTITUTE(INDEX('Données'!$E$2:$E$103,MATCH($B85,'Données'!$A$2:$A$103,0))&amp;"","¶",CHAR(10)))</f>
        <v/>
      </c>
      <c r="G85" s="4">
        <f>IF($B85="","",SUBSTITUTE(INDEX('Données'!$F$2:$F$103,MATCH($B85,'Données'!$A$2:$A$103,0))&amp;"","¶",CHAR(10)))</f>
        <v/>
      </c>
      <c r="H85" s="4">
        <f>IF($B85="","",SUBSTITUTE(INDEX('Données'!$G$2:$G$103,MATCH($B85,'Données'!$A$2:$A$103,0))&amp;"","¶",CHAR(10)))</f>
        <v/>
      </c>
      <c r="I85" s="4">
        <f>IF($B85="","",SUBSTITUTE(INDEX('Données'!$H$2:$H$103,MATCH($B85,'Données'!$A$2:$A$103,0))&amp;"","¶",CHAR(10)))</f>
        <v/>
      </c>
      <c r="J85" s="4">
        <f>IF($B85="","",SUBSTITUTE(INDEX('Données'!$I$2:$I$103,MATCH($B85,'Données'!$A$2:$A$103,0))&amp;"","¶",CHAR(10)))</f>
        <v/>
      </c>
      <c r="K85" s="4">
        <f>IF($B85="","",SUBSTITUTE(INDEX('Données'!$K$2:$K$103,MATCH($B85,'Données'!$A$2:$A$103,0))&amp;"","¶",CHAR(10)))</f>
        <v/>
      </c>
    </row>
    <row r="86">
      <c r="A86" s="4">
        <f>IF(B86="","",84)</f>
        <v/>
      </c>
      <c r="B86" s="2">
        <f>IFERROR(INDEX('Sélection'!$A$4:$A$105,MATCH(84,'Sélection'!$G$4:$G$105,0)),"")</f>
        <v/>
      </c>
      <c r="C86" s="2">
        <f>IF($B86="","",SUBSTITUTE(INDEX('Données'!$B$2:$B$103,MATCH($B86,'Données'!$A$2:$A$103,0))&amp;"","¶",CHAR(10)))</f>
        <v/>
      </c>
      <c r="D86" s="4">
        <f>IF($B86="","",SUBSTITUTE(INDEX('Données'!$C$2:$C$103,MATCH($B86,'Données'!$A$2:$A$103,0))&amp;"","¶",CHAR(10)))</f>
        <v/>
      </c>
      <c r="E86" s="4">
        <f>IF($B86="","",SUBSTITUTE(INDEX('Données'!$D$2:$D$103,MATCH($B86,'Données'!$A$2:$A$103,0))&amp;"","¶",CHAR(10)))</f>
        <v/>
      </c>
      <c r="F86" s="4">
        <f>IF($B86="","",SUBSTITUTE(INDEX('Données'!$E$2:$E$103,MATCH($B86,'Données'!$A$2:$A$103,0))&amp;"","¶",CHAR(10)))</f>
        <v/>
      </c>
      <c r="G86" s="4">
        <f>IF($B86="","",SUBSTITUTE(INDEX('Données'!$F$2:$F$103,MATCH($B86,'Données'!$A$2:$A$103,0))&amp;"","¶",CHAR(10)))</f>
        <v/>
      </c>
      <c r="H86" s="4">
        <f>IF($B86="","",SUBSTITUTE(INDEX('Données'!$G$2:$G$103,MATCH($B86,'Données'!$A$2:$A$103,0))&amp;"","¶",CHAR(10)))</f>
        <v/>
      </c>
      <c r="I86" s="4">
        <f>IF($B86="","",SUBSTITUTE(INDEX('Données'!$H$2:$H$103,MATCH($B86,'Données'!$A$2:$A$103,0))&amp;"","¶",CHAR(10)))</f>
        <v/>
      </c>
      <c r="J86" s="4">
        <f>IF($B86="","",SUBSTITUTE(INDEX('Données'!$I$2:$I$103,MATCH($B86,'Données'!$A$2:$A$103,0))&amp;"","¶",CHAR(10)))</f>
        <v/>
      </c>
      <c r="K86" s="4">
        <f>IF($B86="","",SUBSTITUTE(INDEX('Données'!$K$2:$K$103,MATCH($B86,'Données'!$A$2:$A$103,0))&amp;"","¶",CHAR(10)))</f>
        <v/>
      </c>
    </row>
    <row r="87">
      <c r="A87" s="4">
        <f>IF(B87="","",85)</f>
        <v/>
      </c>
      <c r="B87" s="2">
        <f>IFERROR(INDEX('Sélection'!$A$4:$A$105,MATCH(85,'Sélection'!$G$4:$G$105,0)),"")</f>
        <v/>
      </c>
      <c r="C87" s="2">
        <f>IF($B87="","",SUBSTITUTE(INDEX('Données'!$B$2:$B$103,MATCH($B87,'Données'!$A$2:$A$103,0))&amp;"","¶",CHAR(10)))</f>
        <v/>
      </c>
      <c r="D87" s="4">
        <f>IF($B87="","",SUBSTITUTE(INDEX('Données'!$C$2:$C$103,MATCH($B87,'Données'!$A$2:$A$103,0))&amp;"","¶",CHAR(10)))</f>
        <v/>
      </c>
      <c r="E87" s="4">
        <f>IF($B87="","",SUBSTITUTE(INDEX('Données'!$D$2:$D$103,MATCH($B87,'Données'!$A$2:$A$103,0))&amp;"","¶",CHAR(10)))</f>
        <v/>
      </c>
      <c r="F87" s="4">
        <f>IF($B87="","",SUBSTITUTE(INDEX('Données'!$E$2:$E$103,MATCH($B87,'Données'!$A$2:$A$103,0))&amp;"","¶",CHAR(10)))</f>
        <v/>
      </c>
      <c r="G87" s="4">
        <f>IF($B87="","",SUBSTITUTE(INDEX('Données'!$F$2:$F$103,MATCH($B87,'Données'!$A$2:$A$103,0))&amp;"","¶",CHAR(10)))</f>
        <v/>
      </c>
      <c r="H87" s="4">
        <f>IF($B87="","",SUBSTITUTE(INDEX('Données'!$G$2:$G$103,MATCH($B87,'Données'!$A$2:$A$103,0))&amp;"","¶",CHAR(10)))</f>
        <v/>
      </c>
      <c r="I87" s="4">
        <f>IF($B87="","",SUBSTITUTE(INDEX('Données'!$H$2:$H$103,MATCH($B87,'Données'!$A$2:$A$103,0))&amp;"","¶",CHAR(10)))</f>
        <v/>
      </c>
      <c r="J87" s="4">
        <f>IF($B87="","",SUBSTITUTE(INDEX('Données'!$I$2:$I$103,MATCH($B87,'Données'!$A$2:$A$103,0))&amp;"","¶",CHAR(10)))</f>
        <v/>
      </c>
      <c r="K87" s="4">
        <f>IF($B87="","",SUBSTITUTE(INDEX('Données'!$K$2:$K$103,MATCH($B87,'Données'!$A$2:$A$103,0))&amp;"","¶",CHAR(10)))</f>
        <v/>
      </c>
    </row>
    <row r="88">
      <c r="A88" s="4">
        <f>IF(B88="","",86)</f>
        <v/>
      </c>
      <c r="B88" s="2">
        <f>IFERROR(INDEX('Sélection'!$A$4:$A$105,MATCH(86,'Sélection'!$G$4:$G$105,0)),"")</f>
        <v/>
      </c>
      <c r="C88" s="2">
        <f>IF($B88="","",SUBSTITUTE(INDEX('Données'!$B$2:$B$103,MATCH($B88,'Données'!$A$2:$A$103,0))&amp;"","¶",CHAR(10)))</f>
        <v/>
      </c>
      <c r="D88" s="4">
        <f>IF($B88="","",SUBSTITUTE(INDEX('Données'!$C$2:$C$103,MATCH($B88,'Données'!$A$2:$A$103,0))&amp;"","¶",CHAR(10)))</f>
        <v/>
      </c>
      <c r="E88" s="4">
        <f>IF($B88="","",SUBSTITUTE(INDEX('Données'!$D$2:$D$103,MATCH($B88,'Données'!$A$2:$A$103,0))&amp;"","¶",CHAR(10)))</f>
        <v/>
      </c>
      <c r="F88" s="4">
        <f>IF($B88="","",SUBSTITUTE(INDEX('Données'!$E$2:$E$103,MATCH($B88,'Données'!$A$2:$A$103,0))&amp;"","¶",CHAR(10)))</f>
        <v/>
      </c>
      <c r="G88" s="4">
        <f>IF($B88="","",SUBSTITUTE(INDEX('Données'!$F$2:$F$103,MATCH($B88,'Données'!$A$2:$A$103,0))&amp;"","¶",CHAR(10)))</f>
        <v/>
      </c>
      <c r="H88" s="4">
        <f>IF($B88="","",SUBSTITUTE(INDEX('Données'!$G$2:$G$103,MATCH($B88,'Données'!$A$2:$A$103,0))&amp;"","¶",CHAR(10)))</f>
        <v/>
      </c>
      <c r="I88" s="4">
        <f>IF($B88="","",SUBSTITUTE(INDEX('Données'!$H$2:$H$103,MATCH($B88,'Données'!$A$2:$A$103,0))&amp;"","¶",CHAR(10)))</f>
        <v/>
      </c>
      <c r="J88" s="4">
        <f>IF($B88="","",SUBSTITUTE(INDEX('Données'!$I$2:$I$103,MATCH($B88,'Données'!$A$2:$A$103,0))&amp;"","¶",CHAR(10)))</f>
        <v/>
      </c>
      <c r="K88" s="4">
        <f>IF($B88="","",SUBSTITUTE(INDEX('Données'!$K$2:$K$103,MATCH($B88,'Données'!$A$2:$A$103,0))&amp;"","¶",CHAR(10)))</f>
        <v/>
      </c>
    </row>
    <row r="89">
      <c r="A89" s="4">
        <f>IF(B89="","",87)</f>
        <v/>
      </c>
      <c r="B89" s="2">
        <f>IFERROR(INDEX('Sélection'!$A$4:$A$105,MATCH(87,'Sélection'!$G$4:$G$105,0)),"")</f>
        <v/>
      </c>
      <c r="C89" s="2">
        <f>IF($B89="","",SUBSTITUTE(INDEX('Données'!$B$2:$B$103,MATCH($B89,'Données'!$A$2:$A$103,0))&amp;"","¶",CHAR(10)))</f>
        <v/>
      </c>
      <c r="D89" s="4">
        <f>IF($B89="","",SUBSTITUTE(INDEX('Données'!$C$2:$C$103,MATCH($B89,'Données'!$A$2:$A$103,0))&amp;"","¶",CHAR(10)))</f>
        <v/>
      </c>
      <c r="E89" s="4">
        <f>IF($B89="","",SUBSTITUTE(INDEX('Données'!$D$2:$D$103,MATCH($B89,'Données'!$A$2:$A$103,0))&amp;"","¶",CHAR(10)))</f>
        <v/>
      </c>
      <c r="F89" s="4">
        <f>IF($B89="","",SUBSTITUTE(INDEX('Données'!$E$2:$E$103,MATCH($B89,'Données'!$A$2:$A$103,0))&amp;"","¶",CHAR(10)))</f>
        <v/>
      </c>
      <c r="G89" s="4">
        <f>IF($B89="","",SUBSTITUTE(INDEX('Données'!$F$2:$F$103,MATCH($B89,'Données'!$A$2:$A$103,0))&amp;"","¶",CHAR(10)))</f>
        <v/>
      </c>
      <c r="H89" s="4">
        <f>IF($B89="","",SUBSTITUTE(INDEX('Données'!$G$2:$G$103,MATCH($B89,'Données'!$A$2:$A$103,0))&amp;"","¶",CHAR(10)))</f>
        <v/>
      </c>
      <c r="I89" s="4">
        <f>IF($B89="","",SUBSTITUTE(INDEX('Données'!$H$2:$H$103,MATCH($B89,'Données'!$A$2:$A$103,0))&amp;"","¶",CHAR(10)))</f>
        <v/>
      </c>
      <c r="J89" s="4">
        <f>IF($B89="","",SUBSTITUTE(INDEX('Données'!$I$2:$I$103,MATCH($B89,'Données'!$A$2:$A$103,0))&amp;"","¶",CHAR(10)))</f>
        <v/>
      </c>
      <c r="K89" s="4">
        <f>IF($B89="","",SUBSTITUTE(INDEX('Données'!$K$2:$K$103,MATCH($B89,'Données'!$A$2:$A$103,0))&amp;"","¶",CHAR(10)))</f>
        <v/>
      </c>
    </row>
    <row r="90">
      <c r="A90" s="4">
        <f>IF(B90="","",88)</f>
        <v/>
      </c>
      <c r="B90" s="2">
        <f>IFERROR(INDEX('Sélection'!$A$4:$A$105,MATCH(88,'Sélection'!$G$4:$G$105,0)),"")</f>
        <v/>
      </c>
      <c r="C90" s="2">
        <f>IF($B90="","",SUBSTITUTE(INDEX('Données'!$B$2:$B$103,MATCH($B90,'Données'!$A$2:$A$103,0))&amp;"","¶",CHAR(10)))</f>
        <v/>
      </c>
      <c r="D90" s="4">
        <f>IF($B90="","",SUBSTITUTE(INDEX('Données'!$C$2:$C$103,MATCH($B90,'Données'!$A$2:$A$103,0))&amp;"","¶",CHAR(10)))</f>
        <v/>
      </c>
      <c r="E90" s="4">
        <f>IF($B90="","",SUBSTITUTE(INDEX('Données'!$D$2:$D$103,MATCH($B90,'Données'!$A$2:$A$103,0))&amp;"","¶",CHAR(10)))</f>
        <v/>
      </c>
      <c r="F90" s="4">
        <f>IF($B90="","",SUBSTITUTE(INDEX('Données'!$E$2:$E$103,MATCH($B90,'Données'!$A$2:$A$103,0))&amp;"","¶",CHAR(10)))</f>
        <v/>
      </c>
      <c r="G90" s="4">
        <f>IF($B90="","",SUBSTITUTE(INDEX('Données'!$F$2:$F$103,MATCH($B90,'Données'!$A$2:$A$103,0))&amp;"","¶",CHAR(10)))</f>
        <v/>
      </c>
      <c r="H90" s="4">
        <f>IF($B90="","",SUBSTITUTE(INDEX('Données'!$G$2:$G$103,MATCH($B90,'Données'!$A$2:$A$103,0))&amp;"","¶",CHAR(10)))</f>
        <v/>
      </c>
      <c r="I90" s="4">
        <f>IF($B90="","",SUBSTITUTE(INDEX('Données'!$H$2:$H$103,MATCH($B90,'Données'!$A$2:$A$103,0))&amp;"","¶",CHAR(10)))</f>
        <v/>
      </c>
      <c r="J90" s="4">
        <f>IF($B90="","",SUBSTITUTE(INDEX('Données'!$I$2:$I$103,MATCH($B90,'Données'!$A$2:$A$103,0))&amp;"","¶",CHAR(10)))</f>
        <v/>
      </c>
      <c r="K90" s="4">
        <f>IF($B90="","",SUBSTITUTE(INDEX('Données'!$K$2:$K$103,MATCH($B90,'Données'!$A$2:$A$103,0))&amp;"","¶",CHAR(10)))</f>
        <v/>
      </c>
    </row>
    <row r="91">
      <c r="A91" s="4">
        <f>IF(B91="","",89)</f>
        <v/>
      </c>
      <c r="B91" s="2">
        <f>IFERROR(INDEX('Sélection'!$A$4:$A$105,MATCH(89,'Sélection'!$G$4:$G$105,0)),"")</f>
        <v/>
      </c>
      <c r="C91" s="2">
        <f>IF($B91="","",SUBSTITUTE(INDEX('Données'!$B$2:$B$103,MATCH($B91,'Données'!$A$2:$A$103,0))&amp;"","¶",CHAR(10)))</f>
        <v/>
      </c>
      <c r="D91" s="4">
        <f>IF($B91="","",SUBSTITUTE(INDEX('Données'!$C$2:$C$103,MATCH($B91,'Données'!$A$2:$A$103,0))&amp;"","¶",CHAR(10)))</f>
        <v/>
      </c>
      <c r="E91" s="4">
        <f>IF($B91="","",SUBSTITUTE(INDEX('Données'!$D$2:$D$103,MATCH($B91,'Données'!$A$2:$A$103,0))&amp;"","¶",CHAR(10)))</f>
        <v/>
      </c>
      <c r="F91" s="4">
        <f>IF($B91="","",SUBSTITUTE(INDEX('Données'!$E$2:$E$103,MATCH($B91,'Données'!$A$2:$A$103,0))&amp;"","¶",CHAR(10)))</f>
        <v/>
      </c>
      <c r="G91" s="4">
        <f>IF($B91="","",SUBSTITUTE(INDEX('Données'!$F$2:$F$103,MATCH($B91,'Données'!$A$2:$A$103,0))&amp;"","¶",CHAR(10)))</f>
        <v/>
      </c>
      <c r="H91" s="4">
        <f>IF($B91="","",SUBSTITUTE(INDEX('Données'!$G$2:$G$103,MATCH($B91,'Données'!$A$2:$A$103,0))&amp;"","¶",CHAR(10)))</f>
        <v/>
      </c>
      <c r="I91" s="4">
        <f>IF($B91="","",SUBSTITUTE(INDEX('Données'!$H$2:$H$103,MATCH($B91,'Données'!$A$2:$A$103,0))&amp;"","¶",CHAR(10)))</f>
        <v/>
      </c>
      <c r="J91" s="4">
        <f>IF($B91="","",SUBSTITUTE(INDEX('Données'!$I$2:$I$103,MATCH($B91,'Données'!$A$2:$A$103,0))&amp;"","¶",CHAR(10)))</f>
        <v/>
      </c>
      <c r="K91" s="4">
        <f>IF($B91="","",SUBSTITUTE(INDEX('Données'!$K$2:$K$103,MATCH($B91,'Données'!$A$2:$A$103,0))&amp;"","¶",CHAR(10)))</f>
        <v/>
      </c>
    </row>
    <row r="92">
      <c r="A92" s="4">
        <f>IF(B92="","",90)</f>
        <v/>
      </c>
      <c r="B92" s="2">
        <f>IFERROR(INDEX('Sélection'!$A$4:$A$105,MATCH(90,'Sélection'!$G$4:$G$105,0)),"")</f>
        <v/>
      </c>
      <c r="C92" s="2">
        <f>IF($B92="","",SUBSTITUTE(INDEX('Données'!$B$2:$B$103,MATCH($B92,'Données'!$A$2:$A$103,0))&amp;"","¶",CHAR(10)))</f>
        <v/>
      </c>
      <c r="D92" s="4">
        <f>IF($B92="","",SUBSTITUTE(INDEX('Données'!$C$2:$C$103,MATCH($B92,'Données'!$A$2:$A$103,0))&amp;"","¶",CHAR(10)))</f>
        <v/>
      </c>
      <c r="E92" s="4">
        <f>IF($B92="","",SUBSTITUTE(INDEX('Données'!$D$2:$D$103,MATCH($B92,'Données'!$A$2:$A$103,0))&amp;"","¶",CHAR(10)))</f>
        <v/>
      </c>
      <c r="F92" s="4">
        <f>IF($B92="","",SUBSTITUTE(INDEX('Données'!$E$2:$E$103,MATCH($B92,'Données'!$A$2:$A$103,0))&amp;"","¶",CHAR(10)))</f>
        <v/>
      </c>
      <c r="G92" s="4">
        <f>IF($B92="","",SUBSTITUTE(INDEX('Données'!$F$2:$F$103,MATCH($B92,'Données'!$A$2:$A$103,0))&amp;"","¶",CHAR(10)))</f>
        <v/>
      </c>
      <c r="H92" s="4">
        <f>IF($B92="","",SUBSTITUTE(INDEX('Données'!$G$2:$G$103,MATCH($B92,'Données'!$A$2:$A$103,0))&amp;"","¶",CHAR(10)))</f>
        <v/>
      </c>
      <c r="I92" s="4">
        <f>IF($B92="","",SUBSTITUTE(INDEX('Données'!$H$2:$H$103,MATCH($B92,'Données'!$A$2:$A$103,0))&amp;"","¶",CHAR(10)))</f>
        <v/>
      </c>
      <c r="J92" s="4">
        <f>IF($B92="","",SUBSTITUTE(INDEX('Données'!$I$2:$I$103,MATCH($B92,'Données'!$A$2:$A$103,0))&amp;"","¶",CHAR(10)))</f>
        <v/>
      </c>
      <c r="K92" s="4">
        <f>IF($B92="","",SUBSTITUTE(INDEX('Données'!$K$2:$K$103,MATCH($B92,'Données'!$A$2:$A$103,0))&amp;"","¶",CHAR(10)))</f>
        <v/>
      </c>
    </row>
    <row r="93">
      <c r="A93" s="4">
        <f>IF(B93="","",91)</f>
        <v/>
      </c>
      <c r="B93" s="2">
        <f>IFERROR(INDEX('Sélection'!$A$4:$A$105,MATCH(91,'Sélection'!$G$4:$G$105,0)),"")</f>
        <v/>
      </c>
      <c r="C93" s="2">
        <f>IF($B93="","",SUBSTITUTE(INDEX('Données'!$B$2:$B$103,MATCH($B93,'Données'!$A$2:$A$103,0))&amp;"","¶",CHAR(10)))</f>
        <v/>
      </c>
      <c r="D93" s="4">
        <f>IF($B93="","",SUBSTITUTE(INDEX('Données'!$C$2:$C$103,MATCH($B93,'Données'!$A$2:$A$103,0))&amp;"","¶",CHAR(10)))</f>
        <v/>
      </c>
      <c r="E93" s="4">
        <f>IF($B93="","",SUBSTITUTE(INDEX('Données'!$D$2:$D$103,MATCH($B93,'Données'!$A$2:$A$103,0))&amp;"","¶",CHAR(10)))</f>
        <v/>
      </c>
      <c r="F93" s="4">
        <f>IF($B93="","",SUBSTITUTE(INDEX('Données'!$E$2:$E$103,MATCH($B93,'Données'!$A$2:$A$103,0))&amp;"","¶",CHAR(10)))</f>
        <v/>
      </c>
      <c r="G93" s="4">
        <f>IF($B93="","",SUBSTITUTE(INDEX('Données'!$F$2:$F$103,MATCH($B93,'Données'!$A$2:$A$103,0))&amp;"","¶",CHAR(10)))</f>
        <v/>
      </c>
      <c r="H93" s="4">
        <f>IF($B93="","",SUBSTITUTE(INDEX('Données'!$G$2:$G$103,MATCH($B93,'Données'!$A$2:$A$103,0))&amp;"","¶",CHAR(10)))</f>
        <v/>
      </c>
      <c r="I93" s="4">
        <f>IF($B93="","",SUBSTITUTE(INDEX('Données'!$H$2:$H$103,MATCH($B93,'Données'!$A$2:$A$103,0))&amp;"","¶",CHAR(10)))</f>
        <v/>
      </c>
      <c r="J93" s="4">
        <f>IF($B93="","",SUBSTITUTE(INDEX('Données'!$I$2:$I$103,MATCH($B93,'Données'!$A$2:$A$103,0))&amp;"","¶",CHAR(10)))</f>
        <v/>
      </c>
      <c r="K93" s="4">
        <f>IF($B93="","",SUBSTITUTE(INDEX('Données'!$K$2:$K$103,MATCH($B93,'Données'!$A$2:$A$103,0))&amp;"","¶",CHAR(10)))</f>
        <v/>
      </c>
    </row>
    <row r="94">
      <c r="A94" s="4">
        <f>IF(B94="","",92)</f>
        <v/>
      </c>
      <c r="B94" s="2">
        <f>IFERROR(INDEX('Sélection'!$A$4:$A$105,MATCH(92,'Sélection'!$G$4:$G$105,0)),"")</f>
        <v/>
      </c>
      <c r="C94" s="2">
        <f>IF($B94="","",SUBSTITUTE(INDEX('Données'!$B$2:$B$103,MATCH($B94,'Données'!$A$2:$A$103,0))&amp;"","¶",CHAR(10)))</f>
        <v/>
      </c>
      <c r="D94" s="4">
        <f>IF($B94="","",SUBSTITUTE(INDEX('Données'!$C$2:$C$103,MATCH($B94,'Données'!$A$2:$A$103,0))&amp;"","¶",CHAR(10)))</f>
        <v/>
      </c>
      <c r="E94" s="4">
        <f>IF($B94="","",SUBSTITUTE(INDEX('Données'!$D$2:$D$103,MATCH($B94,'Données'!$A$2:$A$103,0))&amp;"","¶",CHAR(10)))</f>
        <v/>
      </c>
      <c r="F94" s="4">
        <f>IF($B94="","",SUBSTITUTE(INDEX('Données'!$E$2:$E$103,MATCH($B94,'Données'!$A$2:$A$103,0))&amp;"","¶",CHAR(10)))</f>
        <v/>
      </c>
      <c r="G94" s="4">
        <f>IF($B94="","",SUBSTITUTE(INDEX('Données'!$F$2:$F$103,MATCH($B94,'Données'!$A$2:$A$103,0))&amp;"","¶",CHAR(10)))</f>
        <v/>
      </c>
      <c r="H94" s="4">
        <f>IF($B94="","",SUBSTITUTE(INDEX('Données'!$G$2:$G$103,MATCH($B94,'Données'!$A$2:$A$103,0))&amp;"","¶",CHAR(10)))</f>
        <v/>
      </c>
      <c r="I94" s="4">
        <f>IF($B94="","",SUBSTITUTE(INDEX('Données'!$H$2:$H$103,MATCH($B94,'Données'!$A$2:$A$103,0))&amp;"","¶",CHAR(10)))</f>
        <v/>
      </c>
      <c r="J94" s="4">
        <f>IF($B94="","",SUBSTITUTE(INDEX('Données'!$I$2:$I$103,MATCH($B94,'Données'!$A$2:$A$103,0))&amp;"","¶",CHAR(10)))</f>
        <v/>
      </c>
      <c r="K94" s="4">
        <f>IF($B94="","",SUBSTITUTE(INDEX('Données'!$K$2:$K$103,MATCH($B94,'Données'!$A$2:$A$103,0))&amp;"","¶",CHAR(10)))</f>
        <v/>
      </c>
    </row>
    <row r="95">
      <c r="A95" s="4">
        <f>IF(B95="","",93)</f>
        <v/>
      </c>
      <c r="B95" s="2">
        <f>IFERROR(INDEX('Sélection'!$A$4:$A$105,MATCH(93,'Sélection'!$G$4:$G$105,0)),"")</f>
        <v/>
      </c>
      <c r="C95" s="2">
        <f>IF($B95="","",SUBSTITUTE(INDEX('Données'!$B$2:$B$103,MATCH($B95,'Données'!$A$2:$A$103,0))&amp;"","¶",CHAR(10)))</f>
        <v/>
      </c>
      <c r="D95" s="4">
        <f>IF($B95="","",SUBSTITUTE(INDEX('Données'!$C$2:$C$103,MATCH($B95,'Données'!$A$2:$A$103,0))&amp;"","¶",CHAR(10)))</f>
        <v/>
      </c>
      <c r="E95" s="4">
        <f>IF($B95="","",SUBSTITUTE(INDEX('Données'!$D$2:$D$103,MATCH($B95,'Données'!$A$2:$A$103,0))&amp;"","¶",CHAR(10)))</f>
        <v/>
      </c>
      <c r="F95" s="4">
        <f>IF($B95="","",SUBSTITUTE(INDEX('Données'!$E$2:$E$103,MATCH($B95,'Données'!$A$2:$A$103,0))&amp;"","¶",CHAR(10)))</f>
        <v/>
      </c>
      <c r="G95" s="4">
        <f>IF($B95="","",SUBSTITUTE(INDEX('Données'!$F$2:$F$103,MATCH($B95,'Données'!$A$2:$A$103,0))&amp;"","¶",CHAR(10)))</f>
        <v/>
      </c>
      <c r="H95" s="4">
        <f>IF($B95="","",SUBSTITUTE(INDEX('Données'!$G$2:$G$103,MATCH($B95,'Données'!$A$2:$A$103,0))&amp;"","¶",CHAR(10)))</f>
        <v/>
      </c>
      <c r="I95" s="4">
        <f>IF($B95="","",SUBSTITUTE(INDEX('Données'!$H$2:$H$103,MATCH($B95,'Données'!$A$2:$A$103,0))&amp;"","¶",CHAR(10)))</f>
        <v/>
      </c>
      <c r="J95" s="4">
        <f>IF($B95="","",SUBSTITUTE(INDEX('Données'!$I$2:$I$103,MATCH($B95,'Données'!$A$2:$A$103,0))&amp;"","¶",CHAR(10)))</f>
        <v/>
      </c>
      <c r="K95" s="4">
        <f>IF($B95="","",SUBSTITUTE(INDEX('Données'!$K$2:$K$103,MATCH($B95,'Données'!$A$2:$A$103,0))&amp;"","¶",CHAR(10)))</f>
        <v/>
      </c>
    </row>
    <row r="96">
      <c r="A96" s="4">
        <f>IF(B96="","",94)</f>
        <v/>
      </c>
      <c r="B96" s="2">
        <f>IFERROR(INDEX('Sélection'!$A$4:$A$105,MATCH(94,'Sélection'!$G$4:$G$105,0)),"")</f>
        <v/>
      </c>
      <c r="C96" s="2">
        <f>IF($B96="","",SUBSTITUTE(INDEX('Données'!$B$2:$B$103,MATCH($B96,'Données'!$A$2:$A$103,0))&amp;"","¶",CHAR(10)))</f>
        <v/>
      </c>
      <c r="D96" s="4">
        <f>IF($B96="","",SUBSTITUTE(INDEX('Données'!$C$2:$C$103,MATCH($B96,'Données'!$A$2:$A$103,0))&amp;"","¶",CHAR(10)))</f>
        <v/>
      </c>
      <c r="E96" s="4">
        <f>IF($B96="","",SUBSTITUTE(INDEX('Données'!$D$2:$D$103,MATCH($B96,'Données'!$A$2:$A$103,0))&amp;"","¶",CHAR(10)))</f>
        <v/>
      </c>
      <c r="F96" s="4">
        <f>IF($B96="","",SUBSTITUTE(INDEX('Données'!$E$2:$E$103,MATCH($B96,'Données'!$A$2:$A$103,0))&amp;"","¶",CHAR(10)))</f>
        <v/>
      </c>
      <c r="G96" s="4">
        <f>IF($B96="","",SUBSTITUTE(INDEX('Données'!$F$2:$F$103,MATCH($B96,'Données'!$A$2:$A$103,0))&amp;"","¶",CHAR(10)))</f>
        <v/>
      </c>
      <c r="H96" s="4">
        <f>IF($B96="","",SUBSTITUTE(INDEX('Données'!$G$2:$G$103,MATCH($B96,'Données'!$A$2:$A$103,0))&amp;"","¶",CHAR(10)))</f>
        <v/>
      </c>
      <c r="I96" s="4">
        <f>IF($B96="","",SUBSTITUTE(INDEX('Données'!$H$2:$H$103,MATCH($B96,'Données'!$A$2:$A$103,0))&amp;"","¶",CHAR(10)))</f>
        <v/>
      </c>
      <c r="J96" s="4">
        <f>IF($B96="","",SUBSTITUTE(INDEX('Données'!$I$2:$I$103,MATCH($B96,'Données'!$A$2:$A$103,0))&amp;"","¶",CHAR(10)))</f>
        <v/>
      </c>
      <c r="K96" s="4">
        <f>IF($B96="","",SUBSTITUTE(INDEX('Données'!$K$2:$K$103,MATCH($B96,'Données'!$A$2:$A$103,0))&amp;"","¶",CHAR(10)))</f>
        <v/>
      </c>
    </row>
    <row r="97">
      <c r="A97" s="4">
        <f>IF(B97="","",95)</f>
        <v/>
      </c>
      <c r="B97" s="2">
        <f>IFERROR(INDEX('Sélection'!$A$4:$A$105,MATCH(95,'Sélection'!$G$4:$G$105,0)),"")</f>
        <v/>
      </c>
      <c r="C97" s="2">
        <f>IF($B97="","",SUBSTITUTE(INDEX('Données'!$B$2:$B$103,MATCH($B97,'Données'!$A$2:$A$103,0))&amp;"","¶",CHAR(10)))</f>
        <v/>
      </c>
      <c r="D97" s="4">
        <f>IF($B97="","",SUBSTITUTE(INDEX('Données'!$C$2:$C$103,MATCH($B97,'Données'!$A$2:$A$103,0))&amp;"","¶",CHAR(10)))</f>
        <v/>
      </c>
      <c r="E97" s="4">
        <f>IF($B97="","",SUBSTITUTE(INDEX('Données'!$D$2:$D$103,MATCH($B97,'Données'!$A$2:$A$103,0))&amp;"","¶",CHAR(10)))</f>
        <v/>
      </c>
      <c r="F97" s="4">
        <f>IF($B97="","",SUBSTITUTE(INDEX('Données'!$E$2:$E$103,MATCH($B97,'Données'!$A$2:$A$103,0))&amp;"","¶",CHAR(10)))</f>
        <v/>
      </c>
      <c r="G97" s="4">
        <f>IF($B97="","",SUBSTITUTE(INDEX('Données'!$F$2:$F$103,MATCH($B97,'Données'!$A$2:$A$103,0))&amp;"","¶",CHAR(10)))</f>
        <v/>
      </c>
      <c r="H97" s="4">
        <f>IF($B97="","",SUBSTITUTE(INDEX('Données'!$G$2:$G$103,MATCH($B97,'Données'!$A$2:$A$103,0))&amp;"","¶",CHAR(10)))</f>
        <v/>
      </c>
      <c r="I97" s="4">
        <f>IF($B97="","",SUBSTITUTE(INDEX('Données'!$H$2:$H$103,MATCH($B97,'Données'!$A$2:$A$103,0))&amp;"","¶",CHAR(10)))</f>
        <v/>
      </c>
      <c r="J97" s="4">
        <f>IF($B97="","",SUBSTITUTE(INDEX('Données'!$I$2:$I$103,MATCH($B97,'Données'!$A$2:$A$103,0))&amp;"","¶",CHAR(10)))</f>
        <v/>
      </c>
      <c r="K97" s="4">
        <f>IF($B97="","",SUBSTITUTE(INDEX('Données'!$K$2:$K$103,MATCH($B97,'Données'!$A$2:$A$103,0))&amp;"","¶",CHAR(10)))</f>
        <v/>
      </c>
    </row>
    <row r="98">
      <c r="A98" s="4">
        <f>IF(B98="","",96)</f>
        <v/>
      </c>
      <c r="B98" s="2">
        <f>IFERROR(INDEX('Sélection'!$A$4:$A$105,MATCH(96,'Sélection'!$G$4:$G$105,0)),"")</f>
        <v/>
      </c>
      <c r="C98" s="2">
        <f>IF($B98="","",SUBSTITUTE(INDEX('Données'!$B$2:$B$103,MATCH($B98,'Données'!$A$2:$A$103,0))&amp;"","¶",CHAR(10)))</f>
        <v/>
      </c>
      <c r="D98" s="4">
        <f>IF($B98="","",SUBSTITUTE(INDEX('Données'!$C$2:$C$103,MATCH($B98,'Données'!$A$2:$A$103,0))&amp;"","¶",CHAR(10)))</f>
        <v/>
      </c>
      <c r="E98" s="4">
        <f>IF($B98="","",SUBSTITUTE(INDEX('Données'!$D$2:$D$103,MATCH($B98,'Données'!$A$2:$A$103,0))&amp;"","¶",CHAR(10)))</f>
        <v/>
      </c>
      <c r="F98" s="4">
        <f>IF($B98="","",SUBSTITUTE(INDEX('Données'!$E$2:$E$103,MATCH($B98,'Données'!$A$2:$A$103,0))&amp;"","¶",CHAR(10)))</f>
        <v/>
      </c>
      <c r="G98" s="4">
        <f>IF($B98="","",SUBSTITUTE(INDEX('Données'!$F$2:$F$103,MATCH($B98,'Données'!$A$2:$A$103,0))&amp;"","¶",CHAR(10)))</f>
        <v/>
      </c>
      <c r="H98" s="4">
        <f>IF($B98="","",SUBSTITUTE(INDEX('Données'!$G$2:$G$103,MATCH($B98,'Données'!$A$2:$A$103,0))&amp;"","¶",CHAR(10)))</f>
        <v/>
      </c>
      <c r="I98" s="4">
        <f>IF($B98="","",SUBSTITUTE(INDEX('Données'!$H$2:$H$103,MATCH($B98,'Données'!$A$2:$A$103,0))&amp;"","¶",CHAR(10)))</f>
        <v/>
      </c>
      <c r="J98" s="4">
        <f>IF($B98="","",SUBSTITUTE(INDEX('Données'!$I$2:$I$103,MATCH($B98,'Données'!$A$2:$A$103,0))&amp;"","¶",CHAR(10)))</f>
        <v/>
      </c>
      <c r="K98" s="4">
        <f>IF($B98="","",SUBSTITUTE(INDEX('Données'!$K$2:$K$103,MATCH($B98,'Données'!$A$2:$A$103,0))&amp;"","¶",CHAR(10)))</f>
        <v/>
      </c>
    </row>
    <row r="99">
      <c r="A99" s="4">
        <f>IF(B99="","",97)</f>
        <v/>
      </c>
      <c r="B99" s="2">
        <f>IFERROR(INDEX('Sélection'!$A$4:$A$105,MATCH(97,'Sélection'!$G$4:$G$105,0)),"")</f>
        <v/>
      </c>
      <c r="C99" s="2">
        <f>IF($B99="","",SUBSTITUTE(INDEX('Données'!$B$2:$B$103,MATCH($B99,'Données'!$A$2:$A$103,0))&amp;"","¶",CHAR(10)))</f>
        <v/>
      </c>
      <c r="D99" s="4">
        <f>IF($B99="","",SUBSTITUTE(INDEX('Données'!$C$2:$C$103,MATCH($B99,'Données'!$A$2:$A$103,0))&amp;"","¶",CHAR(10)))</f>
        <v/>
      </c>
      <c r="E99" s="4">
        <f>IF($B99="","",SUBSTITUTE(INDEX('Données'!$D$2:$D$103,MATCH($B99,'Données'!$A$2:$A$103,0))&amp;"","¶",CHAR(10)))</f>
        <v/>
      </c>
      <c r="F99" s="4">
        <f>IF($B99="","",SUBSTITUTE(INDEX('Données'!$E$2:$E$103,MATCH($B99,'Données'!$A$2:$A$103,0))&amp;"","¶",CHAR(10)))</f>
        <v/>
      </c>
      <c r="G99" s="4">
        <f>IF($B99="","",SUBSTITUTE(INDEX('Données'!$F$2:$F$103,MATCH($B99,'Données'!$A$2:$A$103,0))&amp;"","¶",CHAR(10)))</f>
        <v/>
      </c>
      <c r="H99" s="4">
        <f>IF($B99="","",SUBSTITUTE(INDEX('Données'!$G$2:$G$103,MATCH($B99,'Données'!$A$2:$A$103,0))&amp;"","¶",CHAR(10)))</f>
        <v/>
      </c>
      <c r="I99" s="4">
        <f>IF($B99="","",SUBSTITUTE(INDEX('Données'!$H$2:$H$103,MATCH($B99,'Données'!$A$2:$A$103,0))&amp;"","¶",CHAR(10)))</f>
        <v/>
      </c>
      <c r="J99" s="4">
        <f>IF($B99="","",SUBSTITUTE(INDEX('Données'!$I$2:$I$103,MATCH($B99,'Données'!$A$2:$A$103,0))&amp;"","¶",CHAR(10)))</f>
        <v/>
      </c>
      <c r="K99" s="4">
        <f>IF($B99="","",SUBSTITUTE(INDEX('Données'!$K$2:$K$103,MATCH($B99,'Données'!$A$2:$A$103,0))&amp;"","¶",CHAR(10)))</f>
        <v/>
      </c>
    </row>
    <row r="100">
      <c r="A100" s="4">
        <f>IF(B100="","",98)</f>
        <v/>
      </c>
      <c r="B100" s="2">
        <f>IFERROR(INDEX('Sélection'!$A$4:$A$105,MATCH(98,'Sélection'!$G$4:$G$105,0)),"")</f>
        <v/>
      </c>
      <c r="C100" s="2">
        <f>IF($B100="","",SUBSTITUTE(INDEX('Données'!$B$2:$B$103,MATCH($B100,'Données'!$A$2:$A$103,0))&amp;"","¶",CHAR(10)))</f>
        <v/>
      </c>
      <c r="D100" s="4">
        <f>IF($B100="","",SUBSTITUTE(INDEX('Données'!$C$2:$C$103,MATCH($B100,'Données'!$A$2:$A$103,0))&amp;"","¶",CHAR(10)))</f>
        <v/>
      </c>
      <c r="E100" s="4">
        <f>IF($B100="","",SUBSTITUTE(INDEX('Données'!$D$2:$D$103,MATCH($B100,'Données'!$A$2:$A$103,0))&amp;"","¶",CHAR(10)))</f>
        <v/>
      </c>
      <c r="F100" s="4">
        <f>IF($B100="","",SUBSTITUTE(INDEX('Données'!$E$2:$E$103,MATCH($B100,'Données'!$A$2:$A$103,0))&amp;"","¶",CHAR(10)))</f>
        <v/>
      </c>
      <c r="G100" s="4">
        <f>IF($B100="","",SUBSTITUTE(INDEX('Données'!$F$2:$F$103,MATCH($B100,'Données'!$A$2:$A$103,0))&amp;"","¶",CHAR(10)))</f>
        <v/>
      </c>
      <c r="H100" s="4">
        <f>IF($B100="","",SUBSTITUTE(INDEX('Données'!$G$2:$G$103,MATCH($B100,'Données'!$A$2:$A$103,0))&amp;"","¶",CHAR(10)))</f>
        <v/>
      </c>
      <c r="I100" s="4">
        <f>IF($B100="","",SUBSTITUTE(INDEX('Données'!$H$2:$H$103,MATCH($B100,'Données'!$A$2:$A$103,0))&amp;"","¶",CHAR(10)))</f>
        <v/>
      </c>
      <c r="J100" s="4">
        <f>IF($B100="","",SUBSTITUTE(INDEX('Données'!$I$2:$I$103,MATCH($B100,'Données'!$A$2:$A$103,0))&amp;"","¶",CHAR(10)))</f>
        <v/>
      </c>
      <c r="K100" s="4">
        <f>IF($B100="","",SUBSTITUTE(INDEX('Données'!$K$2:$K$103,MATCH($B100,'Données'!$A$2:$A$103,0))&amp;"","¶",CHAR(10)))</f>
        <v/>
      </c>
    </row>
    <row r="101">
      <c r="A101" s="4">
        <f>IF(B101="","",99)</f>
        <v/>
      </c>
      <c r="B101" s="2">
        <f>IFERROR(INDEX('Sélection'!$A$4:$A$105,MATCH(99,'Sélection'!$G$4:$G$105,0)),"")</f>
        <v/>
      </c>
      <c r="C101" s="2">
        <f>IF($B101="","",SUBSTITUTE(INDEX('Données'!$B$2:$B$103,MATCH($B101,'Données'!$A$2:$A$103,0))&amp;"","¶",CHAR(10)))</f>
        <v/>
      </c>
      <c r="D101" s="4">
        <f>IF($B101="","",SUBSTITUTE(INDEX('Données'!$C$2:$C$103,MATCH($B101,'Données'!$A$2:$A$103,0))&amp;"","¶",CHAR(10)))</f>
        <v/>
      </c>
      <c r="E101" s="4">
        <f>IF($B101="","",SUBSTITUTE(INDEX('Données'!$D$2:$D$103,MATCH($B101,'Données'!$A$2:$A$103,0))&amp;"","¶",CHAR(10)))</f>
        <v/>
      </c>
      <c r="F101" s="4">
        <f>IF($B101="","",SUBSTITUTE(INDEX('Données'!$E$2:$E$103,MATCH($B101,'Données'!$A$2:$A$103,0))&amp;"","¶",CHAR(10)))</f>
        <v/>
      </c>
      <c r="G101" s="4">
        <f>IF($B101="","",SUBSTITUTE(INDEX('Données'!$F$2:$F$103,MATCH($B101,'Données'!$A$2:$A$103,0))&amp;"","¶",CHAR(10)))</f>
        <v/>
      </c>
      <c r="H101" s="4">
        <f>IF($B101="","",SUBSTITUTE(INDEX('Données'!$G$2:$G$103,MATCH($B101,'Données'!$A$2:$A$103,0))&amp;"","¶",CHAR(10)))</f>
        <v/>
      </c>
      <c r="I101" s="4">
        <f>IF($B101="","",SUBSTITUTE(INDEX('Données'!$H$2:$H$103,MATCH($B101,'Données'!$A$2:$A$103,0))&amp;"","¶",CHAR(10)))</f>
        <v/>
      </c>
      <c r="J101" s="4">
        <f>IF($B101="","",SUBSTITUTE(INDEX('Données'!$I$2:$I$103,MATCH($B101,'Données'!$A$2:$A$103,0))&amp;"","¶",CHAR(10)))</f>
        <v/>
      </c>
      <c r="K101" s="4">
        <f>IF($B101="","",SUBSTITUTE(INDEX('Données'!$K$2:$K$103,MATCH($B101,'Données'!$A$2:$A$103,0))&amp;"","¶",CHAR(10)))</f>
        <v/>
      </c>
    </row>
    <row r="102">
      <c r="A102" s="4">
        <f>IF(B102="","",100)</f>
        <v/>
      </c>
      <c r="B102" s="2">
        <f>IFERROR(INDEX('Sélection'!$A$4:$A$105,MATCH(100,'Sélection'!$G$4:$G$105,0)),"")</f>
        <v/>
      </c>
      <c r="C102" s="2">
        <f>IF($B102="","",SUBSTITUTE(INDEX('Données'!$B$2:$B$103,MATCH($B102,'Données'!$A$2:$A$103,0))&amp;"","¶",CHAR(10)))</f>
        <v/>
      </c>
      <c r="D102" s="4">
        <f>IF($B102="","",SUBSTITUTE(INDEX('Données'!$C$2:$C$103,MATCH($B102,'Données'!$A$2:$A$103,0))&amp;"","¶",CHAR(10)))</f>
        <v/>
      </c>
      <c r="E102" s="4">
        <f>IF($B102="","",SUBSTITUTE(INDEX('Données'!$D$2:$D$103,MATCH($B102,'Données'!$A$2:$A$103,0))&amp;"","¶",CHAR(10)))</f>
        <v/>
      </c>
      <c r="F102" s="4">
        <f>IF($B102="","",SUBSTITUTE(INDEX('Données'!$E$2:$E$103,MATCH($B102,'Données'!$A$2:$A$103,0))&amp;"","¶",CHAR(10)))</f>
        <v/>
      </c>
      <c r="G102" s="4">
        <f>IF($B102="","",SUBSTITUTE(INDEX('Données'!$F$2:$F$103,MATCH($B102,'Données'!$A$2:$A$103,0))&amp;"","¶",CHAR(10)))</f>
        <v/>
      </c>
      <c r="H102" s="4">
        <f>IF($B102="","",SUBSTITUTE(INDEX('Données'!$G$2:$G$103,MATCH($B102,'Données'!$A$2:$A$103,0))&amp;"","¶",CHAR(10)))</f>
        <v/>
      </c>
      <c r="I102" s="4">
        <f>IF($B102="","",SUBSTITUTE(INDEX('Données'!$H$2:$H$103,MATCH($B102,'Données'!$A$2:$A$103,0))&amp;"","¶",CHAR(10)))</f>
        <v/>
      </c>
      <c r="J102" s="4">
        <f>IF($B102="","",SUBSTITUTE(INDEX('Données'!$I$2:$I$103,MATCH($B102,'Données'!$A$2:$A$103,0))&amp;"","¶",CHAR(10)))</f>
        <v/>
      </c>
      <c r="K102" s="4">
        <f>IF($B102="","",SUBSTITUTE(INDEX('Données'!$K$2:$K$103,MATCH($B102,'Données'!$A$2:$A$103,0))&amp;"","¶",CHAR(10)))</f>
        <v/>
      </c>
    </row>
    <row r="103">
      <c r="A103" s="4">
        <f>IF(B103="","",101)</f>
        <v/>
      </c>
      <c r="B103" s="2">
        <f>IFERROR(INDEX('Sélection'!$A$4:$A$105,MATCH(101,'Sélection'!$G$4:$G$105,0)),"")</f>
        <v/>
      </c>
      <c r="C103" s="2">
        <f>IF($B103="","",SUBSTITUTE(INDEX('Données'!$B$2:$B$103,MATCH($B103,'Données'!$A$2:$A$103,0))&amp;"","¶",CHAR(10)))</f>
        <v/>
      </c>
      <c r="D103" s="4">
        <f>IF($B103="","",SUBSTITUTE(INDEX('Données'!$C$2:$C$103,MATCH($B103,'Données'!$A$2:$A$103,0))&amp;"","¶",CHAR(10)))</f>
        <v/>
      </c>
      <c r="E103" s="4">
        <f>IF($B103="","",SUBSTITUTE(INDEX('Données'!$D$2:$D$103,MATCH($B103,'Données'!$A$2:$A$103,0))&amp;"","¶",CHAR(10)))</f>
        <v/>
      </c>
      <c r="F103" s="4">
        <f>IF($B103="","",SUBSTITUTE(INDEX('Données'!$E$2:$E$103,MATCH($B103,'Données'!$A$2:$A$103,0))&amp;"","¶",CHAR(10)))</f>
        <v/>
      </c>
      <c r="G103" s="4">
        <f>IF($B103="","",SUBSTITUTE(INDEX('Données'!$F$2:$F$103,MATCH($B103,'Données'!$A$2:$A$103,0))&amp;"","¶",CHAR(10)))</f>
        <v/>
      </c>
      <c r="H103" s="4">
        <f>IF($B103="","",SUBSTITUTE(INDEX('Données'!$G$2:$G$103,MATCH($B103,'Données'!$A$2:$A$103,0))&amp;"","¶",CHAR(10)))</f>
        <v/>
      </c>
      <c r="I103" s="4">
        <f>IF($B103="","",SUBSTITUTE(INDEX('Données'!$H$2:$H$103,MATCH($B103,'Données'!$A$2:$A$103,0))&amp;"","¶",CHAR(10)))</f>
        <v/>
      </c>
      <c r="J103" s="4">
        <f>IF($B103="","",SUBSTITUTE(INDEX('Données'!$I$2:$I$103,MATCH($B103,'Données'!$A$2:$A$103,0))&amp;"","¶",CHAR(10)))</f>
        <v/>
      </c>
      <c r="K103" s="4">
        <f>IF($B103="","",SUBSTITUTE(INDEX('Données'!$K$2:$K$103,MATCH($B103,'Données'!$A$2:$A$103,0))&amp;"","¶",CHAR(10)))</f>
        <v/>
      </c>
    </row>
    <row r="104">
      <c r="A104" s="4">
        <f>IF(B104="","",102)</f>
        <v/>
      </c>
      <c r="B104" s="2">
        <f>IFERROR(INDEX('Sélection'!$A$4:$A$105,MATCH(102,'Sélection'!$G$4:$G$105,0)),"")</f>
        <v/>
      </c>
      <c r="C104" s="2">
        <f>IF($B104="","",SUBSTITUTE(INDEX('Données'!$B$2:$B$103,MATCH($B104,'Données'!$A$2:$A$103,0))&amp;"","¶",CHAR(10)))</f>
        <v/>
      </c>
      <c r="D104" s="4">
        <f>IF($B104="","",SUBSTITUTE(INDEX('Données'!$C$2:$C$103,MATCH($B104,'Données'!$A$2:$A$103,0))&amp;"","¶",CHAR(10)))</f>
        <v/>
      </c>
      <c r="E104" s="4">
        <f>IF($B104="","",SUBSTITUTE(INDEX('Données'!$D$2:$D$103,MATCH($B104,'Données'!$A$2:$A$103,0))&amp;"","¶",CHAR(10)))</f>
        <v/>
      </c>
      <c r="F104" s="4">
        <f>IF($B104="","",SUBSTITUTE(INDEX('Données'!$E$2:$E$103,MATCH($B104,'Données'!$A$2:$A$103,0))&amp;"","¶",CHAR(10)))</f>
        <v/>
      </c>
      <c r="G104" s="4">
        <f>IF($B104="","",SUBSTITUTE(INDEX('Données'!$F$2:$F$103,MATCH($B104,'Données'!$A$2:$A$103,0))&amp;"","¶",CHAR(10)))</f>
        <v/>
      </c>
      <c r="H104" s="4">
        <f>IF($B104="","",SUBSTITUTE(INDEX('Données'!$G$2:$G$103,MATCH($B104,'Données'!$A$2:$A$103,0))&amp;"","¶",CHAR(10)))</f>
        <v/>
      </c>
      <c r="I104" s="4">
        <f>IF($B104="","",SUBSTITUTE(INDEX('Données'!$H$2:$H$103,MATCH($B104,'Données'!$A$2:$A$103,0))&amp;"","¶",CHAR(10)))</f>
        <v/>
      </c>
      <c r="J104" s="4">
        <f>IF($B104="","",SUBSTITUTE(INDEX('Données'!$I$2:$I$103,MATCH($B104,'Données'!$A$2:$A$103,0))&amp;"","¶",CHAR(10)))</f>
        <v/>
      </c>
      <c r="K104" s="4">
        <f>IF($B104="","",SUBSTITUTE(INDEX('Données'!$K$2:$K$103,MATCH($B104,'Données'!$A$2:$A$103,0))&amp;"","¶",CHAR(10)))</f>
        <v/>
      </c>
    </row>
  </sheetData>
  <pageMargins left="0.4" right="0.4" top="1" bottom="1" header="0.5" footer="0.5"/>
  <pageSetup orientation="landscape" paperSize="9" fitToHeight="0" fitToWidth="1"/>
  <headerFooter>
    <oddHeader/>
    <oddFooter>&amp;C&amp;A — page &amp;P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96"/>
  <sheetViews>
    <sheetView workbookViewId="0">
      <pane ySplit="3" topLeftCell="A4" activePane="bottomLeft" state="frozen"/>
      <selection pane="bottomLeft" activeCell="A1" sqref="A1"/>
    </sheetView>
  </sheetViews>
  <sheetFormatPr baseColWidth="8" defaultRowHeight="15"/>
  <cols>
    <col width="38" customWidth="1" min="1" max="1"/>
    <col width="90" customWidth="1" min="2" max="2"/>
    <col width="36" customWidth="1" min="3" max="3"/>
  </cols>
  <sheetData>
    <row r="1" ht="30" customHeight="1">
      <c r="A1" s="4" t="inlineStr">
        <is>
          <t>Pour faciliter la compréhension du Clausier Numérique Responsable, voici un lexique structuré regroupant les termes techniques et acronymes essentiels. Ce lexique permet d'assurer une base commune de dialogue entre les services Achats, IT et RSE.</t>
        </is>
      </c>
    </row>
    <row r="3">
      <c r="A3" s="6" t="inlineStr">
        <is>
          <t>Terme</t>
        </is>
      </c>
      <c r="B3" s="6" t="inlineStr">
        <is>
          <t>Définition</t>
        </is>
      </c>
      <c r="C3" s="6" t="inlineStr">
        <is>
          <t>Catégorie</t>
        </is>
      </c>
    </row>
    <row r="4">
      <c r="A4" s="2" t="inlineStr">
        <is>
          <t>ACV (Analyse de Cycle de Vie)</t>
        </is>
      </c>
      <c r="B4" s="4" t="inlineStr">
        <is>
          <t>Étude évaluant les impacts environnementaux d'un produit ou service, de l'extraction des matières premières à sa fin de vie.</t>
        </is>
      </c>
      <c r="C4" s="4" t="inlineStr">
        <is>
          <t>Indicateurs de Performance Environnementale</t>
        </is>
      </c>
    </row>
    <row r="5">
      <c r="A5" s="2" t="inlineStr">
        <is>
          <t>CUE (Carbon Usage Effectiveness)</t>
        </is>
      </c>
      <c r="B5" s="4" t="inlineStr">
        <is>
          <t>Indicateur mesurant l'intensité carbone de l'énergie consommée par un centre de données.</t>
        </is>
      </c>
      <c r="C5" s="4" t="inlineStr">
        <is>
          <t>Indicateurs de Performance Environnementale</t>
        </is>
      </c>
    </row>
    <row r="6">
      <c r="A6" s="2" t="inlineStr">
        <is>
          <t>GWP (Global Warming Potential)</t>
        </is>
      </c>
      <c r="B6" s="4" t="inlineStr">
        <is>
          <t>Potentiel de Réchauffement Global, exprimé en CO2e, mesurant l'impact des gaz à effet de serre.</t>
        </is>
      </c>
      <c r="C6" s="4" t="inlineStr">
        <is>
          <t>Indicateurs de Performance Environnementale</t>
        </is>
      </c>
    </row>
    <row r="7">
      <c r="A7" s="2" t="inlineStr">
        <is>
          <t>PCF (Product Carbon Footprint)</t>
        </is>
      </c>
      <c r="B7" s="4" t="inlineStr">
        <is>
          <t>Empreinte carbone spécifique à un équipement matériel ou un service IT.</t>
        </is>
      </c>
      <c r="C7" s="4" t="inlineStr">
        <is>
          <t>Indicateurs de Performance Environnementale</t>
        </is>
      </c>
    </row>
    <row r="8">
      <c r="A8" s="2" t="inlineStr">
        <is>
          <t>PUE (Power Usage Effectiveness)</t>
        </is>
      </c>
      <c r="B8" s="4" t="inlineStr">
        <is>
          <t>Indicateur d'efficacité énergétique mesurant le ratio entre l'énergie totale consommée par un datacenter et celle utilisée par les équipements informatiques.</t>
        </is>
      </c>
      <c r="C8" s="4" t="inlineStr">
        <is>
          <t>Indicateurs de Performance Environnementale</t>
        </is>
      </c>
    </row>
    <row r="9">
      <c r="A9" s="2" t="inlineStr">
        <is>
          <t>WUE (Water Usage Effectiveness)</t>
        </is>
      </c>
      <c r="B9" s="4" t="inlineStr">
        <is>
          <t>Ratio mesurant l'efficacité de la consommation d'eau pour le refroidissement des infrastructures.</t>
        </is>
      </c>
      <c r="C9" s="4" t="inlineStr">
        <is>
          <t>Indicateurs de Performance Environnementale</t>
        </is>
      </c>
    </row>
    <row r="10">
      <c r="A10" s="2" t="inlineStr">
        <is>
          <t>DEEE / D3E (Déchets d'Équipements Électriques et Électroniques)</t>
        </is>
      </c>
      <c r="B10" s="4" t="inlineStr">
        <is>
          <t>Déchets issus des équipements numériques en fin de vie, soumis à des obligations de collecte et de recyclage.</t>
        </is>
      </c>
      <c r="C10" s="4" t="inlineStr">
        <is>
          <t>Indicateurs de Performance Environnementale</t>
        </is>
      </c>
    </row>
    <row r="11">
      <c r="A11" s="2" t="inlineStr">
        <is>
          <t>GES (Gaz à Effet de Serre)</t>
        </is>
      </c>
      <c r="B11" s="4" t="inlineStr">
        <is>
          <t>Gaz responsables du réchauffement climatique, dont les émissions sont exprimées en équivalent CO2 (CO2e).</t>
        </is>
      </c>
      <c r="C11" s="4" t="inlineStr">
        <is>
          <t>Indicateurs de Performance Environnementale</t>
        </is>
      </c>
    </row>
    <row r="12">
      <c r="A12" s="2" t="inlineStr">
        <is>
          <t>Scope 1, 2 et 3</t>
        </is>
      </c>
      <c r="B12" s="4" t="inlineStr">
        <is>
          <t>Périmètres de comptabilisation des émissions de GES : émissions directes (1), liées à l'énergie (2) et indirectes de la chaîne de valeur (3).</t>
        </is>
      </c>
      <c r="C12" s="4" t="inlineStr">
        <is>
          <t>Indicateurs de Performance Environnementale</t>
        </is>
      </c>
    </row>
    <row r="13">
      <c r="A13" s="2" t="inlineStr">
        <is>
          <t>TCO (Total Cost of Ownership)</t>
        </is>
      </c>
      <c r="B13" s="4" t="inlineStr">
        <is>
          <t>Coût total de possession d'un équipement intégrant achat, exploitation, maintenance et fin de vie.</t>
        </is>
      </c>
      <c r="C13" s="4" t="inlineStr">
        <is>
          <t>Indicateurs de Performance Environnementale</t>
        </is>
      </c>
    </row>
    <row r="14">
      <c r="A14" s="2" t="inlineStr">
        <is>
          <t>FLOPS (Floating Point Operations Per Second)</t>
        </is>
      </c>
      <c r="B14" s="4" t="inlineStr">
        <is>
          <t>Unité de mesure de la puissance de calcul d'un processeur ou d'un accélérateur, utilisée pour dimensionner les infrastructures d'entraînement et d'inférence.</t>
        </is>
      </c>
      <c r="C14" s="4" t="inlineStr">
        <is>
          <t>Indicateurs de Performance Environnementale</t>
        </is>
      </c>
    </row>
    <row r="15">
      <c r="A15" s="2" t="inlineStr">
        <is>
          <t>TDP (Thermal Design Power)</t>
        </is>
      </c>
      <c r="B15" s="4" t="inlineStr">
        <is>
          <t>Puissance thermique maximale qu'un composant dissipe en charge, exprimée en watts. Sert d'indicateur de la consommation électrique de pointe.</t>
        </is>
      </c>
      <c r="C15" s="4" t="inlineStr">
        <is>
          <t>Indicateurs de Performance Environnementale</t>
        </is>
      </c>
    </row>
    <row r="16">
      <c r="A16" s="2" t="inlineStr">
        <is>
          <t>DAS (Débit d'Absorption Spécifique)</t>
        </is>
      </c>
      <c r="B16" s="4" t="inlineStr">
        <is>
          <t>Quantité d'énergie radiofréquence absorbée par le corps, exprimée en W/kg et mesurée pour la tête, le tronc et les membres.</t>
        </is>
      </c>
      <c r="C16" s="4" t="inlineStr">
        <is>
          <t>Indicateurs de Performance Environnementale</t>
        </is>
      </c>
    </row>
    <row r="17">
      <c r="A17" s="2" t="inlineStr">
        <is>
          <t>WCF (Water Footprint)</t>
        </is>
      </c>
      <c r="B17" s="4" t="inlineStr">
        <is>
          <t>Empreinte eau d'un service ou d'un équipement, en complément de l'empreinte carbone.</t>
        </is>
      </c>
      <c r="C17" s="4" t="inlineStr">
        <is>
          <t>Indicateurs de Performance Environnementale</t>
        </is>
      </c>
    </row>
    <row r="18">
      <c r="A18" s="2" t="inlineStr">
        <is>
          <t>EnR (énergies renouvelables)</t>
        </is>
      </c>
      <c r="B18" s="4" t="inlineStr">
        <is>
          <t>Sources d'énergie renouvelables, dont la part se mesure en location-based (mix réel local) ou en market-based (contrats d'achat).</t>
        </is>
      </c>
      <c r="C18" s="4" t="inlineStr">
        <is>
          <t>Indicateurs de Performance Environnementale</t>
        </is>
      </c>
    </row>
    <row r="19">
      <c r="A19" s="2" t="inlineStr">
        <is>
          <t>GPAI (General Purpose AI)</t>
        </is>
      </c>
      <c r="B19" s="4" t="inlineStr">
        <is>
          <t>Modèles d'intelligence artificielle à usage général, également appelés modèles fondationnels.</t>
        </is>
      </c>
      <c r="C19" s="4" t="inlineStr">
        <is>
          <t>Intelligence Artificielle (IA)</t>
        </is>
      </c>
    </row>
    <row r="20">
      <c r="A20" s="2" t="inlineStr">
        <is>
          <t>IA Agentique</t>
        </is>
      </c>
      <c r="B20" s="4" t="inlineStr">
        <is>
          <t>Système capable d'atteindre des objectifs complexes avec une supervision humaine limitée en coordonnant plusieurs agents.</t>
        </is>
      </c>
      <c r="C20" s="4" t="inlineStr">
        <is>
          <t>Intelligence Artificielle (IA)</t>
        </is>
      </c>
    </row>
    <row r="21">
      <c r="A21" s="2" t="inlineStr">
        <is>
          <t>IA Générative (IAg)</t>
        </is>
      </c>
      <c r="B21" s="4" t="inlineStr">
        <is>
          <t>Forme d'IA produisant du contenu (texte, image, vidéo) en réponse à une requête utilisateur appelée prompt.</t>
        </is>
      </c>
      <c r="C21" s="4" t="inlineStr">
        <is>
          <t>Intelligence Artificielle (IA)</t>
        </is>
      </c>
    </row>
    <row r="22">
      <c r="A22" s="2" t="inlineStr">
        <is>
          <t>Inférence</t>
        </is>
      </c>
      <c r="B22" s="4" t="inlineStr">
        <is>
          <t>Phase opérationnelle où le modèle d'IA répond à une requête utilisateur, par opposition à la phase d'entraînement.</t>
        </is>
      </c>
      <c r="C22" s="4" t="inlineStr">
        <is>
          <t>Intelligence Artificielle (IA)</t>
        </is>
      </c>
    </row>
    <row r="23">
      <c r="A23" s="2" t="inlineStr">
        <is>
          <t>LLM (Large Language Model)</t>
        </is>
      </c>
      <c r="B23" s="4" t="inlineStr">
        <is>
          <t>Grands modèles de langage entraînés sur d'énormes volumes de données pour comprendre et générer du texte.</t>
        </is>
      </c>
      <c r="C23" s="4" t="inlineStr">
        <is>
          <t>Intelligence Artificielle (IA)</t>
        </is>
      </c>
    </row>
    <row r="24">
      <c r="A24" s="2" t="inlineStr">
        <is>
          <t>MLOps</t>
        </is>
      </c>
      <c r="B24" s="4" t="inlineStr">
        <is>
          <t>Ensemble de pratiques visant à automatiser et fiabiliser le cycle de vie des modèles de Machine Learning.</t>
        </is>
      </c>
      <c r="C24" s="4" t="inlineStr">
        <is>
          <t>Intelligence Artificielle (IA)</t>
        </is>
      </c>
    </row>
    <row r="25">
      <c r="A25" s="2" t="inlineStr">
        <is>
          <t>SIA (Système d'Intelligence Artificielle)</t>
        </is>
      </c>
      <c r="B25" s="4" t="inlineStr">
        <is>
          <t>Terme employé par l'IA Act pour désigner un système fondé sur l'intelligence artificielle.</t>
        </is>
      </c>
      <c r="C25" s="4" t="inlineStr">
        <is>
          <t>Intelligence Artificielle (IA)</t>
        </is>
      </c>
    </row>
    <row r="26">
      <c r="A26" s="2" t="inlineStr">
        <is>
          <t>XAI (eXplainable AI)</t>
        </is>
      </c>
      <c r="B26" s="4" t="inlineStr">
        <is>
          <t>Intelligence artificielle explicable, permettant de comprendre les facteurs ayant conduit à une décision algorithmique.</t>
        </is>
      </c>
      <c r="C26" s="4" t="inlineStr">
        <is>
          <t>Intelligence Artificielle (IA)</t>
        </is>
      </c>
    </row>
    <row r="27">
      <c r="A27" s="2" t="inlineStr">
        <is>
          <t>FRIA (Fundamental Rights Impact Assessment)</t>
        </is>
      </c>
      <c r="B27" s="4" t="inlineStr">
        <is>
          <t>Analyse d'impact sur les droits fondamentaux, exigée par l'IA Act pour les systèmes à haut risque.</t>
        </is>
      </c>
      <c r="C27" s="4" t="inlineStr">
        <is>
          <t>Intelligence Artificielle (IA)</t>
        </is>
      </c>
    </row>
    <row r="28">
      <c r="A28" s="2" t="inlineStr">
        <is>
          <t>GPU / TPU</t>
        </is>
      </c>
      <c r="B28" s="4" t="inlineStr">
        <is>
          <t>Processeur graphique et processeur dédié à l'apprentissage automatique. Ils portent l'essentiel de la consommation des charges d'IA.</t>
        </is>
      </c>
      <c r="C28" s="4" t="inlineStr">
        <is>
          <t>Intelligence Artificielle (IA)</t>
        </is>
      </c>
    </row>
    <row r="29">
      <c r="A29" s="2" t="inlineStr">
        <is>
          <t>IaaS (Infrastructure as a Service)</t>
        </is>
      </c>
      <c r="B29" s="4" t="inlineStr">
        <is>
          <t>Fourniture de ressources matérielles brutes (serveurs, stockage, réseau) via le Cloud.</t>
        </is>
      </c>
      <c r="C29" s="4" t="inlineStr">
        <is>
          <t>Modèles de Services Cloud</t>
        </is>
      </c>
    </row>
    <row r="30">
      <c r="A30" s="2" t="inlineStr">
        <is>
          <t>PaaS (Platform as a Service)</t>
        </is>
      </c>
      <c r="B30" s="4" t="inlineStr">
        <is>
          <t>Mise à disposition de plateformes incluant des outils de développement et d'orchestration pour les applications.</t>
        </is>
      </c>
      <c r="C30" s="4" t="inlineStr">
        <is>
          <t>Modèles de Services Cloud</t>
        </is>
      </c>
    </row>
    <row r="31">
      <c r="A31" s="2" t="inlineStr">
        <is>
          <t>SaaS (Software as a Service)</t>
        </is>
      </c>
      <c r="B31" s="4" t="inlineStr">
        <is>
          <t>Logiciels finis accessibles à la demande via un navigateur ou une API, sans gestion d'infrastructure par l'utilisateur.</t>
        </is>
      </c>
      <c r="C31" s="4" t="inlineStr">
        <is>
          <t>Modèles de Services Cloud</t>
        </is>
      </c>
    </row>
    <row r="32">
      <c r="A32" s="2" t="inlineStr">
        <is>
          <t>AI Act</t>
        </is>
      </c>
      <c r="B32" s="4" t="inlineStr">
        <is>
          <t>Réglementation européenne encadrant le développement et l'usage de l'intelligence artificielle.</t>
        </is>
      </c>
      <c r="C32" s="4" t="inlineStr">
        <is>
          <t>Réglementation, Santé et Accessibilité</t>
        </is>
      </c>
    </row>
    <row r="33">
      <c r="A33" s="2" t="inlineStr">
        <is>
          <t>REACH / RoHS</t>
        </is>
      </c>
      <c r="B33" s="4" t="inlineStr">
        <is>
          <t>Directives européennes limitant l'utilisation de substances dangereuses dans les équipements électriques et électroniques.</t>
        </is>
      </c>
      <c r="C33" s="4" t="inlineStr">
        <is>
          <t>Réglementation, Santé et Accessibilité</t>
        </is>
      </c>
    </row>
    <row r="34">
      <c r="A34" s="2" t="inlineStr">
        <is>
          <t>RGAA / WCAG</t>
        </is>
      </c>
      <c r="B34" s="4" t="inlineStr">
        <is>
          <t>Référentiels d'accessibilité numérique (français et international) garantissant l'usage des services numériques par les personnes en situation de handicap.</t>
        </is>
      </c>
      <c r="C34" s="4" t="inlineStr">
        <is>
          <t>Réglementation, Santé et Accessibilité</t>
        </is>
      </c>
    </row>
    <row r="35">
      <c r="A35" s="2" t="inlineStr">
        <is>
          <t>RGESN (Référentiel Général d'Écoconception de Services Numériques)</t>
        </is>
      </c>
      <c r="B35" s="4" t="inlineStr">
        <is>
          <t>cadre de référence pour réduire l'empreinte environnementale des logiciels.</t>
        </is>
      </c>
      <c r="C35" s="4" t="inlineStr">
        <is>
          <t>Réglementation, Santé et Accessibilité</t>
        </is>
      </c>
    </row>
    <row r="36">
      <c r="A36" s="2" t="inlineStr">
        <is>
          <t>CSRD (Corporate Sustainability Reporting Directive)</t>
        </is>
      </c>
      <c r="B36" s="4" t="inlineStr">
        <is>
          <t>Directive européenne imposant aux entreprises un reporting de durabilité étendu et normalisé.</t>
        </is>
      </c>
      <c r="C36" s="4" t="inlineStr">
        <is>
          <t>Réglementation, Santé et Accessibilité</t>
        </is>
      </c>
    </row>
    <row r="37">
      <c r="A37" s="2" t="inlineStr">
        <is>
          <t>RSE (Responsabilité Sociétale des Entreprises)</t>
        </is>
      </c>
      <c r="B37" s="4" t="inlineStr">
        <is>
          <t>Intégration volontaire des enjeux environnementaux et sociaux dans les activités d'une organisation.</t>
        </is>
      </c>
      <c r="C37" s="4" t="inlineStr">
        <is>
          <t>Réglementation, Santé et Accessibilité</t>
        </is>
      </c>
    </row>
    <row r="38">
      <c r="A38" s="2" t="inlineStr">
        <is>
          <t>SBTi (Science Based Targets initiative)</t>
        </is>
      </c>
      <c r="B38" s="4" t="inlineStr">
        <is>
          <t>Initiative encadrant la définition d'objectifs de réduction des émissions alignés sur la science climatique.</t>
        </is>
      </c>
      <c r="C38" s="4" t="inlineStr">
        <is>
          <t>Réglementation, Santé et Accessibilité</t>
        </is>
      </c>
    </row>
    <row r="39">
      <c r="A39" s="2" t="inlineStr">
        <is>
          <t>ADEME (Agence de la transition écologique)</t>
        </is>
      </c>
      <c r="B39" s="4" t="inlineStr">
        <is>
          <t>Agence publique française de référence sur les méthodes et données environnementales.</t>
        </is>
      </c>
      <c r="C39" s="4" t="inlineStr">
        <is>
          <t>Réglementation, Santé et Accessibilité</t>
        </is>
      </c>
    </row>
    <row r="40">
      <c r="A40" s="2" t="inlineStr">
        <is>
          <t>Loi AGEC</t>
        </is>
      </c>
      <c r="B40" s="4" t="inlineStr">
        <is>
          <t>Loi anti-gaspillage pour une économie circulaire, encadrant notamment le réemploi et la réduction des déchets.</t>
        </is>
      </c>
      <c r="C40" s="4" t="inlineStr">
        <is>
          <t>Réglementation, Santé et Accessibilité</t>
        </is>
      </c>
    </row>
    <row r="41">
      <c r="A41" s="2" t="inlineStr">
        <is>
          <t>Loi REEN</t>
        </is>
      </c>
      <c r="B41" s="4" t="inlineStr">
        <is>
          <t>Loi visant à réduire l'empreinte environnementale du numérique en France.</t>
        </is>
      </c>
      <c r="C41" s="4" t="inlineStr">
        <is>
          <t>Réglementation, Santé et Accessibilité</t>
        </is>
      </c>
    </row>
    <row r="42">
      <c r="A42" s="2" t="inlineStr">
        <is>
          <t>CS3D (Corporate Sustainability Due Diligence Directive)</t>
        </is>
      </c>
      <c r="B42" s="4" t="inlineStr">
        <is>
          <t>Directive européenne sur le devoir de vigilance, adoptée en 2024.</t>
        </is>
      </c>
      <c r="C42" s="4" t="inlineStr">
        <is>
          <t>Réglementation, Santé et Accessibilité</t>
        </is>
      </c>
    </row>
    <row r="43">
      <c r="A43" s="2" t="inlineStr">
        <is>
          <t>EAA (European Accessibility Act)</t>
        </is>
      </c>
      <c r="B43" s="4" t="inlineStr">
        <is>
          <t>Directive européenne d'accessibilité applicable depuis juin 2025.</t>
        </is>
      </c>
      <c r="C43" s="4" t="inlineStr">
        <is>
          <t>Réglementation, Santé et Accessibilité</t>
        </is>
      </c>
    </row>
    <row r="44">
      <c r="A44" s="2" t="inlineStr">
        <is>
          <t>RGPD</t>
        </is>
      </c>
      <c r="B44" s="4" t="inlineStr">
        <is>
          <t>Règlement général sur la protection des données à caractère personnel.</t>
        </is>
      </c>
      <c r="C44" s="4" t="inlineStr">
        <is>
          <t>Réglementation, Santé et Accessibilité</t>
        </is>
      </c>
    </row>
    <row r="45">
      <c r="A45" s="2" t="inlineStr">
        <is>
          <t>SVHC (Substances of Very High Concern)</t>
        </is>
      </c>
      <c r="B45" s="4" t="inlineStr">
        <is>
          <t>Substances extrêmement préoccupantes au sens du règlement REACH.</t>
        </is>
      </c>
      <c r="C45" s="4" t="inlineStr">
        <is>
          <t>Réglementation, Santé et Accessibilité</t>
        </is>
      </c>
    </row>
    <row r="46">
      <c r="A46" s="2" t="inlineStr">
        <is>
          <t>PMR (Personnes à Mobilité Réduite)</t>
        </is>
      </c>
      <c r="B46" s="4" t="inlineStr">
        <is>
          <t>Normes d'accessibilité physique, applicables notamment aux interfaces matérielles.</t>
        </is>
      </c>
      <c r="C46" s="4" t="inlineStr">
        <is>
          <t>Réglementation, Santé et Accessibilité</t>
        </is>
      </c>
    </row>
    <row r="47">
      <c r="A47" s="2" t="inlineStr">
        <is>
          <t>ANSSI</t>
        </is>
      </c>
      <c r="B47" s="4" t="inlineStr">
        <is>
          <t>Agence nationale de la sécurité des systèmes d'information.</t>
        </is>
      </c>
      <c r="C47" s="4" t="inlineStr">
        <is>
          <t>Réglementation, Santé et Accessibilité</t>
        </is>
      </c>
    </row>
    <row r="48">
      <c r="A48" s="2" t="inlineStr">
        <is>
          <t>ANCT</t>
        </is>
      </c>
      <c r="B48" s="4" t="inlineStr">
        <is>
          <t>Agence nationale de la cohésion des territoires.</t>
        </is>
      </c>
      <c r="C48" s="4" t="inlineStr">
        <is>
          <t>Réglementation, Santé et Accessibilité</t>
        </is>
      </c>
    </row>
    <row r="49">
      <c r="A49" s="2" t="inlineStr">
        <is>
          <t>EA (Entreprises Adaptées) / ESAT (Établissements et Services d'Aide par le Travail)</t>
        </is>
      </c>
      <c r="B49" s="4" t="inlineStr">
        <is>
          <t>organisations employant majoritairement des personnes en situation de handicap.</t>
        </is>
      </c>
      <c r="C49" s="4" t="inlineStr">
        <is>
          <t>Économie Circulaire et Sociale</t>
        </is>
      </c>
    </row>
    <row r="50">
      <c r="A50" s="2" t="inlineStr">
        <is>
          <t>ESS (Économie Sociale et Solidaire)</t>
        </is>
      </c>
      <c r="B50" s="4" t="inlineStr">
        <is>
          <t>structures économiques ou organisations conciliant utilité sociale et performance économique.</t>
        </is>
      </c>
      <c r="C50" s="4" t="inlineStr">
        <is>
          <t>Économie Circulaire et Sociale</t>
        </is>
      </c>
    </row>
    <row r="51">
      <c r="A51" s="2" t="inlineStr">
        <is>
          <t>Réemploi</t>
        </is>
      </c>
      <c r="B51" s="4" t="inlineStr">
        <is>
          <t>Réutilisation d'un équipement pour un usage identique sans modification, prolongeant sa durée de vie.</t>
        </is>
      </c>
      <c r="C51" s="4" t="inlineStr">
        <is>
          <t>Économie Circulaire et Sociale</t>
        </is>
      </c>
    </row>
    <row r="52">
      <c r="A52" s="2" t="inlineStr">
        <is>
          <t>Reconditionnement</t>
        </is>
      </c>
      <c r="B52" s="4" t="inlineStr">
        <is>
          <t>Remise en état d'un équipement d'occasion pour une seconde vie commercialisée avec garantie.</t>
        </is>
      </c>
      <c r="C52" s="4" t="inlineStr">
        <is>
          <t>Économie Circulaire et Sociale</t>
        </is>
      </c>
    </row>
    <row r="53">
      <c r="A53" s="2" t="inlineStr">
        <is>
          <t>Obsolescence programmée</t>
        </is>
      </c>
      <c r="B53" s="4" t="inlineStr">
        <is>
          <t>Réduction délibérée de la durée de vie d'un produit pour en accélérer le remplacement.</t>
        </is>
      </c>
      <c r="C53" s="4" t="inlineStr">
        <is>
          <t>Économie Circulaire et Sociale</t>
        </is>
      </c>
    </row>
    <row r="54">
      <c r="A54" s="2" t="inlineStr">
        <is>
          <t>IAE / SIAE (Insertion par l'Activité Économique)</t>
        </is>
      </c>
      <c r="B54" s="4" t="inlineStr">
        <is>
          <t>Structures conventionnées employant des personnes éloignées de l'emploi.</t>
        </is>
      </c>
      <c r="C54" s="4" t="inlineStr">
        <is>
          <t>Économie Circulaire et Sociale</t>
        </is>
      </c>
    </row>
    <row r="55">
      <c r="A55" s="2" t="inlineStr">
        <is>
          <t>STPA (Secteur du Travail Protégé et Adapté)</t>
        </is>
      </c>
      <c r="B55" s="4" t="inlineStr">
        <is>
          <t>Entreprises adaptées et ESAT accueillant des travailleurs en situation de handicap.</t>
        </is>
      </c>
      <c r="C55" s="4" t="inlineStr">
        <is>
          <t>Économie Circulaire et Sociale</t>
        </is>
      </c>
    </row>
    <row r="56">
      <c r="A56" s="2" t="inlineStr">
        <is>
          <t>DPP (Digital Product Passport)</t>
        </is>
      </c>
      <c r="B56" s="4" t="inlineStr">
        <is>
          <t>Passeport numérique de produit imposé par la réglementation européenne, détaillant composition et réparabilité.</t>
        </is>
      </c>
      <c r="C56" s="4" t="inlineStr">
        <is>
          <t>Économie Circulaire et Sociale</t>
        </is>
      </c>
    </row>
    <row r="57">
      <c r="A57" s="2" t="inlineStr">
        <is>
          <t>NR (Numérique Responsable)</t>
        </is>
      </c>
      <c r="B57" s="4" t="inlineStr">
        <is>
          <t>Démarche visant à réduire les impacts environnementaux, sociaux et économiques du numérique sur tout son cycle de vie.</t>
        </is>
      </c>
      <c r="C57" s="4" t="inlineStr">
        <is>
          <t>Concepts et Démarches du Numérique Responsable</t>
        </is>
      </c>
    </row>
    <row r="58">
      <c r="A58" s="2" t="inlineStr">
        <is>
          <t>Sobriété numérique</t>
        </is>
      </c>
      <c r="B58" s="4" t="inlineStr">
        <is>
          <t>Approche consistant à limiter les usages et équipements numériques au strict nécessaire afin d'en réduire l'empreinte.</t>
        </is>
      </c>
      <c r="C58" s="4" t="inlineStr">
        <is>
          <t>Concepts et Démarches du Numérique Responsable</t>
        </is>
      </c>
    </row>
    <row r="59">
      <c r="A59" s="2" t="inlineStr">
        <is>
          <t>Écoconception</t>
        </is>
      </c>
      <c r="B59" s="4" t="inlineStr">
        <is>
          <t>Conception de produits ou services numériques intégrant la réduction des impacts environnementaux dès leur création.</t>
        </is>
      </c>
      <c r="C59" s="4" t="inlineStr">
        <is>
          <t>Concepts et Démarches du Numérique Responsable</t>
        </is>
      </c>
    </row>
    <row r="60">
      <c r="A60" s="2" t="inlineStr">
        <is>
          <t>Green IT / IT for Green</t>
        </is>
      </c>
      <c r="B60" s="4" t="inlineStr">
        <is>
          <t>Green IT réduit l'empreinte du numérique lui-même ; IT for Green mobilise le numérique pour réduire l'empreinte d'autres activités.</t>
        </is>
      </c>
      <c r="C60" s="4" t="inlineStr">
        <is>
          <t>Concepts et Démarches du Numérique Responsable</t>
        </is>
      </c>
    </row>
    <row r="61">
      <c r="A61" s="2" t="inlineStr">
        <is>
          <t>Infobésité</t>
        </is>
      </c>
      <c r="B61" s="4" t="inlineStr">
        <is>
          <t>Surcharge informationnelle liée à la production et au stockage excessifs de données numériques.</t>
        </is>
      </c>
      <c r="C61" s="4" t="inlineStr">
        <is>
          <t>Concepts et Démarches du Numérique Responsable</t>
        </is>
      </c>
    </row>
    <row r="62">
      <c r="A62" s="2" t="inlineStr">
        <is>
          <t>Souveraineté numérique</t>
        </is>
      </c>
      <c r="B62" s="4" t="inlineStr">
        <is>
          <t>Capacité d'une organisation ou d'un État à maîtriser ses données, infrastructures et technologies numériques.</t>
        </is>
      </c>
      <c r="C62" s="4" t="inlineStr">
        <is>
          <t>Concepts et Démarches du Numérique Responsable</t>
        </is>
      </c>
    </row>
    <row r="63">
      <c r="A63" s="2" t="inlineStr">
        <is>
          <t>GR491</t>
        </is>
      </c>
      <c r="B63" s="4" t="inlineStr">
        <is>
          <t>Guide de référence de conception responsable de services numériques publié par l'Institut du Numérique Responsable.</t>
        </is>
      </c>
      <c r="C63" s="4" t="inlineStr">
        <is>
          <t>Concepts et Démarches du Numérique Responsable</t>
        </is>
      </c>
    </row>
    <row r="64">
      <c r="A64" s="2" t="inlineStr">
        <is>
          <t>SCI (Software Carbon Intensity)</t>
        </is>
      </c>
      <c r="B64" s="4" t="inlineStr">
        <is>
          <t>Méthode de calcul de l'intensité carbone d'un logiciel, normalisée par l'ISO/IEC 21031:2024.</t>
        </is>
      </c>
      <c r="C64" s="4" t="inlineStr">
        <is>
          <t>Concepts et Démarches du Numérique Responsable</t>
        </is>
      </c>
    </row>
    <row r="65">
      <c r="A65" s="2" t="inlineStr">
        <is>
          <t>GHG Protocol (Greenhouse Gas Protocol)</t>
        </is>
      </c>
      <c r="B65" s="4" t="inlineStr">
        <is>
          <t>Référentiel international de comptabilisation des émissions de gaz à effet de serre, à l'origine des scopes 1, 2 et 3.</t>
        </is>
      </c>
      <c r="C65" s="4" t="inlineStr">
        <is>
          <t>Concepts et Démarches du Numérique Responsable</t>
        </is>
      </c>
    </row>
    <row r="66">
      <c r="A66" s="2" t="inlineStr">
        <is>
          <t>RFI / RFP (Request For Information / Proposal)</t>
        </is>
      </c>
      <c r="B66" s="4" t="inlineStr">
        <is>
          <t>Demandes d'information puis de propositions adressées aux fournisseurs lors d'une consultation.</t>
        </is>
      </c>
      <c r="C66" s="4" t="inlineStr">
        <is>
          <t>Acronymes Achats et Organisations</t>
        </is>
      </c>
    </row>
    <row r="67">
      <c r="A67" s="2" t="inlineStr">
        <is>
          <t>CCTP (Cahier des Clauses Techniques Particulières)</t>
        </is>
      </c>
      <c r="B67" s="4" t="inlineStr">
        <is>
          <t>Document contractuel définissant les exigences techniques d'un marché.</t>
        </is>
      </c>
      <c r="C67" s="4" t="inlineStr">
        <is>
          <t>Acronymes Achats et Organisations</t>
        </is>
      </c>
    </row>
    <row r="68">
      <c r="A68" s="2" t="inlineStr">
        <is>
          <t>CCAP (Cahier des Clauses Administratives Particulières)</t>
        </is>
      </c>
      <c r="B68" s="4" t="inlineStr">
        <is>
          <t>Document contractuel fixant les clauses administratives propres à un marché.</t>
        </is>
      </c>
      <c r="C68" s="4" t="inlineStr">
        <is>
          <t>Acronymes Achats et Organisations</t>
        </is>
      </c>
    </row>
    <row r="69">
      <c r="A69" s="2" t="inlineStr">
        <is>
          <t>CCAG (Cahier des Clauses Administratives Générales)</t>
        </is>
      </c>
      <c r="B69" s="4" t="inlineStr">
        <is>
          <t>Clauses administratives types applicables à une catégorie de marchés.</t>
        </is>
      </c>
      <c r="C69" s="4" t="inlineStr">
        <is>
          <t>Acronymes Achats et Organisations</t>
        </is>
      </c>
    </row>
    <row r="70">
      <c r="A70" s="2" t="inlineStr">
        <is>
          <t>MCO (Maintien en Conditions Opérationnelles)</t>
        </is>
      </c>
      <c r="B70" s="4" t="inlineStr">
        <is>
          <t>Ensemble des actions garantissant la disponibilité et le bon fonctionnement d'un système sur sa durée de vie.</t>
        </is>
      </c>
      <c r="C70" s="4" t="inlineStr">
        <is>
          <t>Acronymes Achats et Organisations</t>
        </is>
      </c>
    </row>
    <row r="71">
      <c r="A71" s="2" t="inlineStr">
        <is>
          <t>ESN (Entreprise de Services du Numérique)</t>
        </is>
      </c>
      <c r="B71" s="4" t="inlineStr">
        <is>
          <t>Société prestataire de services informatiques, anciennement appelée SSII.</t>
        </is>
      </c>
      <c r="C71" s="4" t="inlineStr">
        <is>
          <t>Acronymes Achats et Organisations</t>
        </is>
      </c>
    </row>
    <row r="72">
      <c r="A72" s="2" t="inlineStr">
        <is>
          <t>INR (Institut du Numérique Responsable)</t>
        </is>
      </c>
      <c r="B72" s="4" t="inlineStr">
        <is>
          <t>Organisation de référence promouvant les pratiques du numérique responsable.</t>
        </is>
      </c>
      <c r="C72" s="4" t="inlineStr">
        <is>
          <t>Acronymes Achats et Organisations</t>
        </is>
      </c>
    </row>
    <row r="73">
      <c r="A73" s="2" t="inlineStr">
        <is>
          <t>FTCC (French Tech Corporate Community)</t>
        </is>
      </c>
      <c r="B73" s="4" t="inlineStr">
        <is>
          <t>Communauté de grands groupes engagés au sein de la French Tech.</t>
        </is>
      </c>
      <c r="C73" s="4" t="inlineStr">
        <is>
          <t>Acronymes Achats et Organisations</t>
        </is>
      </c>
    </row>
    <row r="74">
      <c r="A74" s="2" t="inlineStr">
        <is>
          <t>CIGREF</t>
        </is>
      </c>
      <c r="B74" s="4" t="inlineStr">
        <is>
          <t>Association des grandes entreprises et administrations françaises dédiée au numérique.</t>
        </is>
      </c>
      <c r="C74" s="4" t="inlineStr">
        <is>
          <t>Acronymes Achats et Organisations</t>
        </is>
      </c>
    </row>
    <row r="75">
      <c r="A75" s="2" t="inlineStr">
        <is>
          <t>EcoVadis</t>
        </is>
      </c>
      <c r="B75" s="4" t="inlineStr">
        <is>
          <t>Plateforme d'évaluation de la performance RSE des fournisseurs.</t>
        </is>
      </c>
      <c r="C75" s="4" t="inlineStr">
        <is>
          <t>Acronymes Achats et Organisations</t>
        </is>
      </c>
    </row>
    <row r="76">
      <c r="A76" s="2" t="inlineStr">
        <is>
          <t>TMA (Tierce Maintenance Applicative)</t>
        </is>
      </c>
      <c r="B76" s="4" t="inlineStr">
        <is>
          <t>Externalisation de la maintenance corrective et évolutive d'une application.</t>
        </is>
      </c>
      <c r="C76" s="4" t="inlineStr">
        <is>
          <t>Acronymes Achats et Organisations</t>
        </is>
      </c>
    </row>
    <row r="77">
      <c r="A77" s="2" t="inlineStr">
        <is>
          <t>EEE (Espace Économique Européen)</t>
        </is>
      </c>
      <c r="B77" s="4" t="inlineStr">
        <is>
          <t>Union européenne élargie à l'Islande, au Liechtenstein et à la Norvège.</t>
        </is>
      </c>
      <c r="C77" s="4" t="inlineStr">
        <is>
          <t>Acronymes Achats et Organisations</t>
        </is>
      </c>
    </row>
    <row r="78">
      <c r="A78" s="2" t="inlineStr">
        <is>
          <t>MEP (Mise En Production)</t>
        </is>
      </c>
      <c r="B78" s="4" t="inlineStr">
        <is>
          <t>Déploiement d'une version applicative dans l'environnement d'exploitation.</t>
        </is>
      </c>
      <c r="C78" s="4" t="inlineStr">
        <is>
          <t>Acronymes Achats et Organisations</t>
        </is>
      </c>
    </row>
    <row r="79">
      <c r="A79" s="2" t="inlineStr">
        <is>
          <t>PCA / PRA (Plan de Continuité d'Activité / Plan de Reprise d'Activité)</t>
        </is>
      </c>
      <c r="B79" s="4" t="inlineStr">
        <is>
          <t>Dispositifs garantissant la poursuite ou le rétablissement du service après un incident majeur.</t>
        </is>
      </c>
      <c r="C79" s="4" t="inlineStr">
        <is>
          <t>Acronymes Achats et Organisations</t>
        </is>
      </c>
    </row>
    <row r="80">
      <c r="A80" s="2" t="inlineStr">
        <is>
          <t>AFNOR</t>
        </is>
      </c>
      <c r="B80" s="4" t="inlineStr">
        <is>
          <t>Association française de normalisation, qui publie les normes NF et délivre les labels Engagé RSE et Diversité.</t>
        </is>
      </c>
      <c r="C80" s="4" t="inlineStr">
        <is>
          <t>Acronymes Achats et Organisations</t>
        </is>
      </c>
    </row>
    <row r="81">
      <c r="A81" s="2" t="inlineStr">
        <is>
          <t>IEA (International Energy Agency)</t>
        </is>
      </c>
      <c r="B81" s="4" t="inlineStr">
        <is>
          <t>Agence internationale de l'énergie.</t>
        </is>
      </c>
      <c r="C81" s="4" t="inlineStr">
        <is>
          <t>Acronymes Achats et Organisations</t>
        </is>
      </c>
    </row>
    <row r="82">
      <c r="A82" s="2" t="inlineStr">
        <is>
          <t>EPEAT (Electronic Product Environmental Assessment Tool)</t>
        </is>
      </c>
      <c r="B82" s="4" t="inlineStr">
        <is>
          <t>Écolabel nord-américain classant les équipements électroniques en Bronze, Silver et Gold selon leurs performances environnementales.</t>
        </is>
      </c>
      <c r="C82" s="4" t="inlineStr">
        <is>
          <t>Labels, Certifications et Référentiels</t>
        </is>
      </c>
    </row>
    <row r="83">
      <c r="A83" s="2" t="inlineStr">
        <is>
          <t>TCO Certified</t>
        </is>
      </c>
      <c r="B83" s="4" t="inlineStr">
        <is>
          <t>Certification suédoise de durabilité des produits informatiques, à ne pas confondre avec le TCO financier. Elle couvre l'environnement, la santé et les conditions sociales de production.</t>
        </is>
      </c>
      <c r="C83" s="4" t="inlineStr">
        <is>
          <t>Labels, Certifications et Référentiels</t>
        </is>
      </c>
    </row>
    <row r="84">
      <c r="A84" s="2" t="inlineStr">
        <is>
          <t>Energy Star</t>
        </is>
      </c>
      <c r="B84" s="4" t="inlineStr">
        <is>
          <t>Programme de certification de l'efficacité énergétique des équipements électroniques.</t>
        </is>
      </c>
      <c r="C84" s="4" t="inlineStr">
        <is>
          <t>Labels, Certifications et Référentiels</t>
        </is>
      </c>
    </row>
    <row r="85">
      <c r="A85" s="2" t="inlineStr">
        <is>
          <t>Blue Angel</t>
        </is>
      </c>
      <c r="B85" s="4" t="inlineStr">
        <is>
          <t>Écolabel allemand couvrant notamment les imprimantes et les imprimantes multifonctions.</t>
        </is>
      </c>
      <c r="C85" s="4" t="inlineStr">
        <is>
          <t>Labels, Certifications et Référentiels</t>
        </is>
      </c>
    </row>
    <row r="86">
      <c r="A86" s="2" t="inlineStr">
        <is>
          <t>ASHRAE</t>
        </is>
      </c>
      <c r="B86" s="4" t="inlineStr">
        <is>
          <t>Association américaine des ingénieurs du chauffage et de la climatisation. Ses classes A1 à A4 définissent les plages de température et d'humidité admissibles en datacenter.</t>
        </is>
      </c>
      <c r="C86" s="4" t="inlineStr">
        <is>
          <t>Labels, Certifications et Référentiels</t>
        </is>
      </c>
    </row>
    <row r="87">
      <c r="A87" s="2" t="inlineStr">
        <is>
          <t>GEEIS (Gender Equality European &amp; International Standard)</t>
        </is>
      </c>
      <c r="B87" s="4" t="inlineStr">
        <is>
          <t>Label européen d'égalité professionnelle. Sa déclinaison GEEIS-AI porte sur la non-discrimination des systèmes d'IA.</t>
        </is>
      </c>
      <c r="C87" s="4" t="inlineStr">
        <is>
          <t>Labels, Certifications et Référentiels</t>
        </is>
      </c>
    </row>
    <row r="88">
      <c r="A88" s="2" t="inlineStr">
        <is>
          <t>RBA (Responsible Business Alliance)</t>
        </is>
      </c>
      <c r="B88" s="4" t="inlineStr">
        <is>
          <t>Coalition industrielle auditant les conditions sociales et environnementales des sites de production électronique.</t>
        </is>
      </c>
      <c r="C88" s="4" t="inlineStr">
        <is>
          <t>Labels, Certifications et Référentiels</t>
        </is>
      </c>
    </row>
    <row r="89">
      <c r="A89" s="2" t="inlineStr">
        <is>
          <t>IAAP (International Association of Accessibility Professionals)</t>
        </is>
      </c>
      <c r="B89" s="4" t="inlineStr">
        <is>
          <t>Association délivrant des certifications individuelles en accessibilité numérique.</t>
        </is>
      </c>
      <c r="C89" s="4" t="inlineStr">
        <is>
          <t>Labels, Certifications et Référentiels</t>
        </is>
      </c>
    </row>
    <row r="90">
      <c r="A90" s="2" t="inlineStr">
        <is>
          <t>ISO / IEC</t>
        </is>
      </c>
      <c r="B90" s="4" t="inlineStr">
        <is>
          <t>Organisation internationale de normalisation et Commission électrotechnique internationale, qui publient les normes ISO et ISO/IEC citées dans ce clausier.</t>
        </is>
      </c>
      <c r="C90" s="4" t="inlineStr">
        <is>
          <t>Labels, Certifications et Référentiels</t>
        </is>
      </c>
    </row>
    <row r="91">
      <c r="A91" s="2" t="inlineStr">
        <is>
          <t>CPU (Central Processing Unit)</t>
        </is>
      </c>
      <c r="B91" s="4" t="inlineStr">
        <is>
          <t>Processeur généraliste d'un équipement informatique.</t>
        </is>
      </c>
      <c r="C91" s="4" t="inlineStr">
        <is>
          <t>Termes Techniques</t>
        </is>
      </c>
    </row>
    <row r="92">
      <c r="A92" s="2" t="inlineStr">
        <is>
          <t>RAM (Random Access Memory)</t>
        </is>
      </c>
      <c r="B92" s="4" t="inlineStr">
        <is>
          <t>Mémoire vive d'un équipement.</t>
        </is>
      </c>
      <c r="C92" s="4" t="inlineStr">
        <is>
          <t>Termes Techniques</t>
        </is>
      </c>
    </row>
    <row r="93">
      <c r="A93" s="2" t="inlineStr">
        <is>
          <t>PSU (Power Supply Unit)</t>
        </is>
      </c>
      <c r="B93" s="4" t="inlineStr">
        <is>
          <t>Bloc d'alimentation d'un serveur ou d'un poste de travail, dont le rendement est certifié par le programme 80 PLUS.</t>
        </is>
      </c>
      <c r="C93" s="4" t="inlineStr">
        <is>
          <t>Termes Techniques</t>
        </is>
      </c>
    </row>
    <row r="94">
      <c r="A94" s="2" t="inlineStr">
        <is>
          <t>OS (Operating System)</t>
        </is>
      </c>
      <c r="B94" s="4" t="inlineStr">
        <is>
          <t>Système d'exploitation.</t>
        </is>
      </c>
      <c r="C94" s="4" t="inlineStr">
        <is>
          <t>Termes Techniques</t>
        </is>
      </c>
    </row>
    <row r="95">
      <c r="A95" s="2" t="inlineStr">
        <is>
          <t>IoT (Internet of Things)</t>
        </is>
      </c>
      <c r="B95" s="4" t="inlineStr">
        <is>
          <t>Internet des objets, désignant les équipements connectés qui collectent ou échangent des données.</t>
        </is>
      </c>
      <c r="C95" s="4" t="inlineStr">
        <is>
          <t>Termes Techniques</t>
        </is>
      </c>
    </row>
    <row r="96">
      <c r="A96" s="2" t="inlineStr">
        <is>
          <t>Lecteurs d'écran (NVDA, JAWS, VoiceOver)</t>
        </is>
      </c>
      <c r="B96" s="4" t="inlineStr">
        <is>
          <t>Logiciels de restitution vocale utilisés par les personnes déficientes visuelles.</t>
        </is>
      </c>
      <c r="C96" s="4" t="inlineStr">
        <is>
          <t>Termes Techniques</t>
        </is>
      </c>
    </row>
  </sheetData>
  <mergeCells count="1">
    <mergeCell ref="A1:C1"/>
  </mergeCells>
  <pageMargins left="0.4" right="0.4" top="1" bottom="1" header="0.5" footer="0.5"/>
  <pageSetup orientation="portrait" paperSize="9" fitToHeight="0" fitToWidth="1"/>
  <headerFooter>
    <oddHeader/>
    <oddFooter>&amp;C&amp;A — page &amp;P /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B9"/>
  <sheetViews>
    <sheetView workbookViewId="0">
      <selection activeCell="A1" sqref="A1"/>
    </sheetView>
  </sheetViews>
  <sheetFormatPr baseColWidth="8" defaultRowHeight="15"/>
  <cols>
    <col width="70" customWidth="1" min="1" max="1"/>
    <col width="80" customWidth="1" min="2" max="2"/>
  </cols>
  <sheetData>
    <row r="1">
      <c r="A1" s="7" t="inlineStr">
        <is>
          <t>Sources documentaires citées par le clausier (section « Sources documentaires » du V2).</t>
        </is>
      </c>
    </row>
    <row r="3">
      <c r="A3" s="6" t="inlineStr">
        <is>
          <t>Référence</t>
        </is>
      </c>
      <c r="B3" s="6" t="inlineStr">
        <is>
          <t>Adresse</t>
        </is>
      </c>
    </row>
    <row r="4">
      <c r="A4" s="4" t="inlineStr">
        <is>
          <t>Le guide des achats numériques responsable (version béta d’avril 2021) publié par le gouvernement français</t>
        </is>
      </c>
      <c r="B4" s="10" t="inlineStr">
        <is>
          <t>https://ecoresponsable.numerique.gouv.fr/docs/2021/guide-achats-numeriques-responsables-version-beta-avril-2021.pdf</t>
        </is>
      </c>
    </row>
    <row r="5">
      <c r="A5" s="4" t="inlineStr">
        <is>
          <t>Cahier des clauses techniques – Achat de services cloud public PAAS dans un environnement de confiance publié par le CIGREF en mars 2024</t>
        </is>
      </c>
      <c r="B5" s="10" t="inlineStr">
        <is>
          <t>https://www.cigref.fr/technical-specifications-booklet-tsb-to-be-integrated-in-a-request-for-proposal-for-trusted-cloud-solutions</t>
        </is>
      </c>
    </row>
    <row r="6">
      <c r="A6" s="4" t="inlineStr">
        <is>
          <t>Fiche achat responsable de solutions d'IA : Mission Interministérielle</t>
        </is>
      </c>
      <c r="B6" s="10" t="inlineStr">
        <is>
          <t>https://ecoresponsable.numerique.gouv.fr/actualites/fiche-HA-IA/</t>
        </is>
      </c>
    </row>
    <row r="7">
      <c r="A7" s="4" t="inlineStr">
        <is>
          <t>Comment sécuriser le recours à des communs numériques dans le cadre d'un marché public ? - ANCT</t>
        </is>
      </c>
      <c r="B7" s="10" t="inlineStr">
        <is>
          <t>https://labo.societenumerique.gouv.fr/fr/articles/comment-s%C3%A9curiser-le-recours-%C3%A0-des-communs-num%C3%A9riques-dans-le-cadre-dun-march%C3%A9-public/#3-3-anticiper-la-gestion-des-connaissances-anterieures</t>
        </is>
      </c>
    </row>
    <row r="8">
      <c r="A8" s="4" t="inlineStr">
        <is>
          <t>Guide de l’achat public : Achats Informatiques et propriété intellectuelle</t>
        </is>
      </c>
      <c r="B8" s="10" t="inlineStr">
        <is>
          <t>https://www.economie.gouv.fr/files/files/directions_services/dae/doc/Guide_PII_web.pdf</t>
        </is>
      </c>
    </row>
    <row r="9">
      <c r="A9" s="4" t="inlineStr">
        <is>
          <t>Arrêté du 30 mars 2021 portant approbation du cahier des clauses administratives générales des marchés publics de techniques de l'information et de la communication</t>
        </is>
      </c>
      <c r="B9" s="10" t="inlineStr">
        <is>
          <t>https://www.legifrance.gouv.fr/loda/id/JORFTEXT000043310689</t>
        </is>
      </c>
    </row>
  </sheetData>
  <hyperlinks>
    <hyperlink xmlns:r="http://schemas.openxmlformats.org/officeDocument/2006/relationships" ref="B4" r:id="rId1"/>
    <hyperlink xmlns:r="http://schemas.openxmlformats.org/officeDocument/2006/relationships" ref="B5" r:id="rId2"/>
    <hyperlink xmlns:r="http://schemas.openxmlformats.org/officeDocument/2006/relationships" ref="B6" r:id="rId3"/>
    <hyperlink xmlns:r="http://schemas.openxmlformats.org/officeDocument/2006/relationships" ref="B7" r:id="rId4"/>
    <hyperlink xmlns:r="http://schemas.openxmlformats.org/officeDocument/2006/relationships" ref="B8" r:id="rId5"/>
    <hyperlink xmlns:r="http://schemas.openxmlformats.org/officeDocument/2006/relationships" ref="B9" r:id="rId6"/>
  </hyperlinks>
  <pageMargins left="0.4" right="0.4" top="1" bottom="1" header="0.5" footer="0.5"/>
  <pageSetup orientation="portrait" paperSize="9" fitToHeight="0" fitToWidth="1"/>
  <headerFooter>
    <oddHeader/>
    <oddFooter>&amp;C&amp;A — page &amp;P / &amp;N</oddFooter>
    <evenHeader/>
    <evenFooter/>
    <firstHeader/>
    <firstFooter/>
  </headerFooter>
  <tableParts count="1">
    <tablePart xmlns:r="http://schemas.openxmlformats.org/officeDocument/2006/relationships" r:id="rId7"/>
  </tableParts>
</worksheet>
</file>

<file path=xl/worksheets/sheet7.xml><?xml version="1.0" encoding="utf-8"?>
<worksheet xmlns="http://schemas.openxmlformats.org/spreadsheetml/2006/main">
  <sheetPr>
    <outlinePr summaryBelow="1" summaryRight="1"/>
    <pageSetUpPr fitToPage="1"/>
  </sheetPr>
  <dimension ref="A1:A67"/>
  <sheetViews>
    <sheetView workbookViewId="0">
      <selection activeCell="A1" sqref="A1"/>
    </sheetView>
  </sheetViews>
  <sheetFormatPr baseColWidth="8" defaultRowHeight="15"/>
  <cols>
    <col width="110" customWidth="1" min="1" max="1"/>
  </cols>
  <sheetData>
    <row r="1" ht="24" customHeight="1">
      <c r="A1" s="1" t="inlineStr">
        <is>
          <t>Crédits</t>
        </is>
      </c>
    </row>
    <row r="2">
      <c r="A2" s="3" t="inlineStr">
        <is>
          <t>Classeur Excel</t>
        </is>
      </c>
    </row>
    <row r="3" ht="42" customHeight="1">
      <c r="A3" s="4" t="inlineStr">
        <is>
          <t>Paul Saulnier — Contribution initiale à la structuration et à la préparation du classeur Excel du Clausier Numérique Responsable V2. Le présent classeur reprend son modèle de colonnes, son classement par segment, sous-segment et phase, et son lexique catégorisé.</t>
        </is>
      </c>
    </row>
    <row r="5">
      <c r="A5" s="3" t="inlineStr">
        <is>
          <t>Clausier Numérique Responsable V2</t>
        </is>
      </c>
    </row>
    <row r="6">
      <c r="A6" s="4" t="inlineStr">
        <is>
          <t>Coordination : French Tech Corporate Community (FTCC) et Institut du Numérique Responsable (INR).</t>
        </is>
      </c>
    </row>
    <row r="7" ht="30" customHeight="1">
      <c r="A7" s="4" t="inlineStr">
        <is>
          <t>Pilotage : Richard BURY, Directeur du programme Numérique Responsable du Groupe EDF ; Claire LARDIERE, Chef de projet Numérique Responsable chez EDF SA.</t>
        </is>
      </c>
    </row>
    <row r="9">
      <c r="A9" s="3" t="inlineStr">
        <is>
          <t>Remerciements (texte du V2)</t>
        </is>
      </c>
    </row>
    <row r="10">
      <c r="A10" s="4" t="inlineStr">
        <is>
          <t>Nos remerciements vont à Richard BURY, Directeur du programme Numérique Responsable du Groupe EDF et Claire LARDIERE, Chef de projet Numérique Responsable chez EDF SA qui ont piloté la réalisation du présent clausier, ainsi qu’à toutes les personnes mentionnées ci-après qui ont participé et contribué à ce double groupe de travail coordonnée par la</t>
        </is>
      </c>
    </row>
    <row r="11">
      <c r="A11" s="4" t="inlineStr">
        <is>
          <t>FTCC et l’Institut du Numérique Responsable (INR)</t>
        </is>
      </c>
    </row>
    <row r="12">
      <c r="A12" s="4" t="inlineStr">
        <is>
          <t>ABEILLE ASSURANCES - Clémence MALLET</t>
        </is>
      </c>
    </row>
    <row r="13">
      <c r="A13" s="4" t="inlineStr">
        <is>
          <t>ACCENTURE - Hélène GIRAUDEL</t>
        </is>
      </c>
    </row>
    <row r="14">
      <c r="A14" s="4" t="inlineStr">
        <is>
          <t>ADP - Olivier POMMEROLLE</t>
        </is>
      </c>
    </row>
    <row r="15">
      <c r="A15" s="4" t="inlineStr">
        <is>
          <t>AGGLOMERATION LA ROCHELLE – Jérôme VALAIS</t>
        </is>
      </c>
    </row>
    <row r="16">
      <c r="A16" s="4" t="inlineStr">
        <is>
          <t>AESIO - Catherine LE MOUEL</t>
        </is>
      </c>
    </row>
    <row r="17">
      <c r="A17" s="4" t="inlineStr">
        <is>
          <t>ATOS - Philippe BALCH</t>
        </is>
      </c>
    </row>
    <row r="18">
      <c r="A18" s="4" t="inlineStr">
        <is>
          <t>AXA - Céline LESCOP</t>
        </is>
      </c>
    </row>
    <row r="19">
      <c r="A19" s="4" t="inlineStr">
        <is>
          <t>BPCE - Cécile MAUGE, Nicolas MARTINEZ DUHOST</t>
        </is>
      </c>
    </row>
    <row r="20">
      <c r="A20" s="4" t="inlineStr">
        <is>
          <t>CAISSE DES DEPOTS - Henri PETIT, Abdelfattah BEKKALI, Simon Pierre ROGER GOMIS</t>
        </is>
      </c>
    </row>
    <row r="21">
      <c r="A21" s="4" t="inlineStr">
        <is>
          <t>CAPGEMINI - Christian METNI</t>
        </is>
      </c>
    </row>
    <row r="22">
      <c r="A22" s="4" t="inlineStr">
        <is>
          <t>CGI - Clément LUCAS, Justine FIESCHI, Renaud BEVANÇON</t>
        </is>
      </c>
    </row>
    <row r="23">
      <c r="A23" s="4" t="inlineStr">
        <is>
          <t>CGI - Business Consulting, Virgile VINCENT</t>
        </is>
      </c>
    </row>
    <row r="24">
      <c r="A24" s="4" t="inlineStr">
        <is>
          <t>CREDIT AGRICOLE - Fabien METIVET</t>
        </is>
      </c>
    </row>
    <row r="25">
      <c r="A25" s="4" t="inlineStr">
        <is>
          <t>DECATHLON - Vincent DELLACHERIE</t>
        </is>
      </c>
    </row>
    <row r="26">
      <c r="A26" s="4" t="inlineStr">
        <is>
          <t>DESIGNERS ÉTHIQUES - Patrick VALLON</t>
        </is>
      </c>
    </row>
    <row r="27">
      <c r="A27" s="4" t="inlineStr">
        <is>
          <t>DIGITAL4BETTER - Vincent DUCAS</t>
        </is>
      </c>
    </row>
    <row r="28">
      <c r="A28" s="4" t="inlineStr">
        <is>
          <t>DOXALLIA - Mariana POUDRET</t>
        </is>
      </c>
    </row>
    <row r="29">
      <c r="A29" s="4" t="inlineStr">
        <is>
          <t>ECONOCOM - Badis BELGACEM</t>
        </is>
      </c>
    </row>
    <row r="30">
      <c r="A30" s="4" t="inlineStr">
        <is>
          <t>EDF – Claire LARDIERE, Richard BURY, Damien VOUZELLAUD, Sirine FARES</t>
        </is>
      </c>
    </row>
    <row r="31">
      <c r="A31" s="4" t="inlineStr">
        <is>
          <t>ENEDIS - Hugues WELTI, Lætitia LAFFONT, Pauline GUILLEMART, Sabria BELGHITI ALAOUI</t>
        </is>
      </c>
    </row>
    <row r="32">
      <c r="A32" s="4" t="inlineStr">
        <is>
          <t>ENGIE - Olivier SERVOISE</t>
        </is>
      </c>
    </row>
    <row r="33">
      <c r="A33" s="4" t="inlineStr">
        <is>
          <t>FDJ - Vincent PERROTIN</t>
        </is>
      </c>
    </row>
    <row r="34">
      <c r="A34" s="4" t="inlineStr">
        <is>
          <t>Free Pro - Géraldine MONTAGNON, Benjamin DEREUX</t>
        </is>
      </c>
    </row>
    <row r="35">
      <c r="A35" s="4" t="inlineStr">
        <is>
          <t>INETUM - Ambre MANGIN</t>
        </is>
      </c>
    </row>
    <row r="36">
      <c r="A36" s="4" t="inlineStr">
        <is>
          <t>INR - Guillaume GALLON</t>
        </is>
      </c>
    </row>
    <row r="37">
      <c r="A37" s="4" t="inlineStr">
        <is>
          <t>GRT GAZ - Renaud CALISTI</t>
        </is>
      </c>
    </row>
    <row r="38">
      <c r="A38" s="4" t="inlineStr">
        <is>
          <t>MACIF - Paul SAULNIER</t>
        </is>
      </c>
    </row>
    <row r="39">
      <c r="A39" s="4" t="inlineStr">
        <is>
          <t>NEOSOFT - Christelle LEFEBVRE</t>
        </is>
      </c>
    </row>
    <row r="40">
      <c r="A40" s="4" t="inlineStr">
        <is>
          <t>NORSYS - Joël NEGRIER</t>
        </is>
      </c>
    </row>
    <row r="41">
      <c r="A41" s="4" t="inlineStr">
        <is>
          <t>NOUVELLE AQUITAINE - Marie-Eve TAYOT, Anne Cecile PETIT</t>
        </is>
      </c>
    </row>
    <row r="42">
      <c r="A42" s="4" t="inlineStr">
        <is>
          <t>OCI - Marie BOURCEREAU</t>
        </is>
      </c>
    </row>
    <row r="43">
      <c r="A43" s="4" t="inlineStr">
        <is>
          <t>ORANGE - Vincent CAYEUX</t>
        </is>
      </c>
    </row>
    <row r="44">
      <c r="A44" s="4" t="inlineStr">
        <is>
          <t>ORANGE BUSINESS - Christophe HAUDRECHY, Aymeric BELVEZE</t>
        </is>
      </c>
    </row>
    <row r="45">
      <c r="A45" s="4" t="inlineStr">
        <is>
          <t>SQUAIRLAW – Delia GONZALES-DAHMOUL</t>
        </is>
      </c>
    </row>
    <row r="46">
      <c r="A46" s="4" t="inlineStr">
        <is>
          <t>SAFRAN - Cécile GOEPFER</t>
        </is>
      </c>
    </row>
    <row r="47">
      <c r="A47" s="4" t="inlineStr">
        <is>
          <t>SOCIETE GENERALE - Jennifer ZARAGOZA, Valériane CHAAOUB, Jean Baptiste DUBO</t>
        </is>
      </c>
    </row>
    <row r="48">
      <c r="A48" s="4" t="inlineStr">
        <is>
          <t>SOPRA STERIA – Axel COT, Philippe GOUELLEU</t>
        </is>
      </c>
    </row>
    <row r="49">
      <c r="A49" s="4" t="inlineStr">
        <is>
          <t>STEDIA - Fabrice VAN HOED</t>
        </is>
      </c>
    </row>
    <row r="50">
      <c r="A50" s="4" t="inlineStr">
        <is>
          <t>TALAN - Marion STAUR</t>
        </is>
      </c>
    </row>
    <row r="51">
      <c r="A51" s="4" t="inlineStr">
        <is>
          <t>TESSI - Estelle TIRMARCHE, Jean Philippe BALIVET</t>
        </is>
      </c>
    </row>
    <row r="52">
      <c r="A52" s="4" t="inlineStr">
        <is>
          <t>VINCI - Marie AIT DAOUD</t>
        </is>
      </c>
    </row>
    <row r="53">
      <c r="A53" s="4" t="inlineStr">
        <is>
          <t>VINCI ENERGIES - Giliane FEROTIN-REY</t>
        </is>
      </c>
    </row>
    <row r="54">
      <c r="A54" s="4" t="inlineStr">
        <is>
          <t>CA-GIP (groupe Crédit Agricole) - Frédéric CASPAR</t>
        </is>
      </c>
    </row>
    <row r="55">
      <c r="A55" s="4" t="inlineStr">
        <is>
          <t>DAHER - Mathieu Chevalier</t>
        </is>
      </c>
    </row>
    <row r="56">
      <c r="A56" s="4" t="inlineStr">
        <is>
          <t>GIE SIN de CDC Habitat - Laurent FAUQUEREU</t>
        </is>
      </c>
    </row>
    <row r="57">
      <c r="A57" s="4" t="inlineStr">
        <is>
          <t>INFRABEL- Benito BRONZI</t>
        </is>
      </c>
    </row>
    <row r="58">
      <c r="A58" s="4" t="inlineStr">
        <is>
          <t>PLUXEE - Axelle PERRET</t>
        </is>
      </c>
    </row>
    <row r="59">
      <c r="A59" s="4" t="inlineStr">
        <is>
          <t>REGION BRETAGNE - Charlotte GOUIN</t>
        </is>
      </c>
    </row>
    <row r="60">
      <c r="A60" s="4" t="inlineStr">
        <is>
          <t>SCC France - Anne-Sophie LAURENT</t>
        </is>
      </c>
    </row>
    <row r="61">
      <c r="A61" s="4" t="inlineStr">
        <is>
          <t>SOCIETE GENERALE - Christophe ACEZAT</t>
        </is>
      </c>
    </row>
    <row r="62">
      <c r="A62" s="4" t="inlineStr">
        <is>
          <t>PRAGMA 9 - Olivier DERNONCOURT, Yann MEUNIER</t>
        </is>
      </c>
    </row>
    <row r="63">
      <c r="A63" s="4" t="inlineStr">
        <is>
          <t>TOURS MÉTROPOLE VAL DE LOIRE - Véronique CHATAIN</t>
        </is>
      </c>
    </row>
    <row r="65">
      <c r="A65" s="3" t="inlineStr">
        <is>
          <t>Licence</t>
        </is>
      </c>
    </row>
    <row r="66" ht="30" customHeight="1">
      <c r="A66" s="4" t="inlineStr">
        <is>
          <t>Clausier Numérique Responsable © 2026 French Tech Corporate Community (FTCC) &amp; Institut du Numérique Responsable (INR), sous licence CC BY 4.0. https://creativecommons.org/licenses/by/4.0/deed.fr</t>
        </is>
      </c>
    </row>
    <row r="67" ht="30" customHeight="1">
      <c r="A67" s="2" t="inlineStr">
        <is>
          <t>À citer : Clausier Numérique Responsable, Institut du Numérique Responsable (INR) et French Tech Corporate Community (FTCC), licence CC BY 4.0, https://creativecommons.org/licenses/by/4.0/deed.fr</t>
        </is>
      </c>
    </row>
  </sheetData>
  <pageMargins left="0.4" right="0.4" top="1" bottom="1" header="0.5" footer="0.5"/>
  <pageSetup orientation="portrait" paperSize="9" fitToHeight="0" fitToWidth="1"/>
  <headerFooter>
    <oddHeader/>
    <oddFooter>&amp;C&amp;A — page &amp;P /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M103"/>
  <sheetViews>
    <sheetView workbookViewId="0">
      <selection activeCell="A1" sqref="A1"/>
    </sheetView>
  </sheetViews>
  <sheetFormatPr baseColWidth="8" defaultRowHeight="15"/>
  <sheetData>
    <row r="1">
      <c r="A1" t="inlineStr">
        <is>
          <t>ID</t>
        </is>
      </c>
      <c r="B1" t="inlineStr">
        <is>
          <t>Critère</t>
        </is>
      </c>
      <c r="C1" t="inlineStr">
        <is>
          <t>Commentaire</t>
        </is>
      </c>
      <c r="D1" t="inlineStr">
        <is>
          <t>Exigences</t>
        </is>
      </c>
      <c r="E1" t="inlineStr">
        <is>
          <t>Livrables</t>
        </is>
      </c>
      <c r="F1" t="inlineStr">
        <is>
          <t>Questions</t>
        </is>
      </c>
      <c r="G1" t="inlineStr">
        <is>
          <t>Niveau 1 (Must have)</t>
        </is>
      </c>
      <c r="H1" t="inlineStr">
        <is>
          <t>Niveau 2 (Nice to have)</t>
        </is>
      </c>
      <c r="I1" t="inlineStr">
        <is>
          <t>Segment</t>
        </is>
      </c>
      <c r="J1" t="inlineStr">
        <is>
          <t>Sous segment</t>
        </is>
      </c>
      <c r="K1" t="inlineStr">
        <is>
          <t>Phase</t>
        </is>
      </c>
      <c r="L1" t="inlineStr">
        <is>
          <t>Section V2</t>
        </is>
      </c>
      <c r="M1" t="inlineStr">
        <is>
          <t>Page PDF V2</t>
        </is>
      </c>
    </row>
    <row r="2">
      <c r="A2" t="inlineStr">
        <is>
          <t>COM-Q-01</t>
        </is>
      </c>
      <c r="B2" t="inlineStr">
        <is>
          <t>Labels et démarches RSE appliquées aux activités numériques et IT</t>
        </is>
      </c>
      <c r="C2" t="inlineStr">
        <is>
          <t>Exemples de labels :¶¶• L’évaluation RSE Ecovadis concernant le numérique¶• ISO 14001 concernant les activités/services numériques¶• Adhésion au PACT européen pour l’IA</t>
        </is>
      </c>
      <c r="D2" t="inlineStr"/>
      <c r="E2" t="inlineStr"/>
      <c r="F2" t="inlineStr">
        <is>
          <t>• Décrivez votre démarche de Responsabilité Sociétale des Entreprises (RSE). Comment est-elle pilotée au sein de votre organisation et spécifiquement pour vos activités numériques ?¶• Votre démarche RSE fait-elle l'objet d'une évaluation ou d'un audit régulier par un organisme indépendant ? Si oui, précisez l'organisme, la date de la dernière évaluation et le score obtenu.¶• Quelles sont les actions concrètes mises en œuvre pour réduire l'impact environnemental et social de vos services numériques (ex : écoconception, gestion du cycle de vie du matériel, inclusion) ?¶• Disposez-vous de labels ou certifications spécifiques au Numérique Responsable (ex : Label NR de l'INR, ISO 14001 sur le périmètre IT) ?</t>
        </is>
      </c>
      <c r="G2" t="inlineStr">
        <is>
          <t>• Preuve de l'existence d'une démarche environnementale structurée et évaluée en interne ou par un tiers.¶• Capacité à décrire les compétences et la professionnalisation des équipes sur le sujet.¶• Engagement à partager ses processus et bonnes pratiques avec l'Entreprise.¶• Signature Charte NR de l’INR et/ou la charte IA Responsable de l’INR ou équivalent</t>
        </is>
      </c>
      <c r="H2" t="inlineStr">
        <is>
          <t>• Signature du Pacte Européen pour l’IA et mise en place d'un comité d'éthique interne.¶• Publication de livres blancs, participation à des groupes de travail sectoriels (ex : CIGREF, Green IT).¶• (Hors commande publique) Label Numérique Responsable ou AFNOR Engagé RSE.¶• (Hors commande publique) Certification ou Label Tiers de référence (ex : ISO 14001, évaluation Ecovadis avec un score &gt; 60/100).</t>
        </is>
      </c>
      <c r="I2" t="inlineStr">
        <is>
          <t>- Transverse -</t>
        </is>
      </c>
      <c r="J2" t="inlineStr"/>
      <c r="K2" t="inlineStr">
        <is>
          <t>RFI/RFP</t>
        </is>
      </c>
      <c r="L2" t="inlineStr">
        <is>
          <t>1.1</t>
        </is>
      </c>
      <c r="M2" t="n">
        <v>8</v>
      </c>
    </row>
    <row r="3">
      <c r="A3" t="inlineStr">
        <is>
          <t>COM-Q-02</t>
        </is>
      </c>
      <c r="B3" t="inlineStr">
        <is>
          <t>Labels et démarches Numérique responsable</t>
        </is>
      </c>
      <c r="C3" t="inlineStr">
        <is>
          <t>Exemples de labels :¶¶• Le label numérique responsable de l'INR ou tout autre label équivalent</t>
        </is>
      </c>
      <c r="D3" t="inlineStr"/>
      <c r="E3" t="inlineStr"/>
      <c r="F3" t="inlineStr">
        <is>
          <t>• Avez-vous une démarche Numérique responsable évaluée par un tiers ?¶• Pouvez-vous démontrer votre maîtrise, vos compétences, la professionnalisation de vos équipes, partager vos bonnes pratiques et processus ?</t>
        </is>
      </c>
      <c r="G3" t="inlineStr">
        <is>
          <t>Preuve de l’existence d’une démarche Numérique responsable (Exemple Signature de la Charte NR)</t>
        </is>
      </c>
      <c r="H3" t="inlineStr">
        <is>
          <t>Certifié et/ou labellisé Numérique responsable niveau 2</t>
        </is>
      </c>
      <c r="I3" t="inlineStr">
        <is>
          <t>- Transverse -</t>
        </is>
      </c>
      <c r="J3" t="inlineStr"/>
      <c r="K3" t="inlineStr">
        <is>
          <t>RFI/RFP</t>
        </is>
      </c>
      <c r="L3" t="inlineStr">
        <is>
          <t>1.1</t>
        </is>
      </c>
      <c r="M3" t="n">
        <v>8</v>
      </c>
    </row>
    <row r="4">
      <c r="A4" t="inlineStr">
        <is>
          <t>COM-Q-03</t>
        </is>
      </c>
      <c r="B4" t="inlineStr">
        <is>
          <t>Équité, Diversité et Inclusion</t>
        </is>
      </c>
      <c r="C4" t="inlineStr">
        <is>
          <t>Le prestataire garantit une culture de travail inclusive et s'engage à lutter contre les stéréotypes de genre et les biais discriminatoires dans ses équipes et ses solutions.</t>
        </is>
      </c>
      <c r="D4" t="inlineStr"/>
      <c r="E4" t="inlineStr"/>
      <c r="F4" t="inlineStr">
        <is>
          <t>• Comment s’appliquent vos politiques de diversité et d’inclusion santé et sécurité dans le numérique ?¶• Quelle est votre stratégie pour assurer la mixité et la féminisation de vos équipes techniques ?</t>
        </is>
      </c>
      <c r="G4" t="inlineStr">
        <is>
          <t>• Indicateurs légaux : Fourniture de l'Index de l'égalité professionnelle (pour les entreprises concernées) avec un score minimum de 75/100.¶• Preuve d'engagement : Signature d'une Charte de la Diversité ou existence d'un accord d'entreprise incluant des mesures spécifiques pour le secteur numérique.</t>
        </is>
      </c>
      <c r="H4" t="inlineStr">
        <is>
          <t>• Détention du label GEEIS-AI (pour une IA responsable et non-discriminatoire) ou du Label Diversité de l'AFNOR.¶• Publication annuelle de la répartition Femmes/Hommes par niveau de séniorité technique (ex: Junior vs Staff Engineer).¶• Mécénat de compétences ou partenariats actifs avec des structures favorisant l'inclusion dans la tech (ex : Simplon, Social Builder, Elles Bougent).¶• Sensibilisation : Justifier que 100% des managers et recruteurs ont suivi une formation sur les biais cognitifs et la non-discrimination.</t>
        </is>
      </c>
      <c r="I4" t="inlineStr">
        <is>
          <t>- Transverse -</t>
        </is>
      </c>
      <c r="J4" t="inlineStr"/>
      <c r="K4" t="inlineStr">
        <is>
          <t>RFI/RFP</t>
        </is>
      </c>
      <c r="L4" t="inlineStr">
        <is>
          <t>1.1</t>
        </is>
      </c>
      <c r="M4" t="n">
        <v>8</v>
      </c>
    </row>
    <row r="5">
      <c r="A5" t="inlineStr">
        <is>
          <t>COM-Q-04</t>
        </is>
      </c>
      <c r="B5" t="inlineStr">
        <is>
          <t>Devoir de Vigilance et Droits Fondamentaux</t>
        </is>
      </c>
      <c r="C5" t="inlineStr">
        <is>
          <t>Cette clause s'inscrit dans le cadre des nouvelles règles européennes. Le Titulaire doit confirmer sa conformité selon le calendrier de mise en œuvre suivant :¶¶• À partir de 2027 : Entreprises de &gt; 5 000 employés et &gt; 1 500 M€ de CA mondial.¶• À partir de 2028 : Entreprises de &gt; 3 000 employés et &gt; 900 M€ de CA mondial.¶• À partir de 2029 : Toutes les autres entreprises concernées (&gt; 1 000 employés et &gt; 450 M€ de CA mondial).</t>
        </is>
      </c>
      <c r="D5" t="inlineStr"/>
      <c r="E5" t="inlineStr"/>
      <c r="F5" t="inlineStr">
        <is>
          <t>• Disposez-vous d'un plan de vigilance formalisé et à jour couvrant spécifiquement vos activités numériques et celles de vos filiales ?¶• Pouvez-vous garantir la transparence complète de votre chaîne d'approvisionnement pour les composants matériels critiques (écrans, batteries, processeurs) ?¶• Comment intégrez-vous la prévention des dommages environnementaux majeurs dans le choix et le suivi de vos sous-traitants ?</t>
        </is>
      </c>
      <c r="G5" t="inlineStr">
        <is>
          <t>• Engagement écrit à respecter le calendrier d'éligibilité CS3D (2027-2029).¶• Signature d'un code de conduite par 100% des fournisseurs de rang 1.¶• Existence d'un canal de signalement interne accessible aux parties prenantes.</t>
        </is>
      </c>
      <c r="H5" t="inlineStr">
        <is>
          <t>• Fourniture d’une cartographie formalisée des risques en matière de droits humains et conditions de travail, couvrant les activités ainsi que, le cas échéant, celles de la chaîne d’approvisionnement¶• Anticipation volontaire des seuils de vigilance pour les entreprises non encore assujetties.¶• Audit tiers indépendant (ex : RBA) des sites de production des composants critiques.¶• Publication annuelle d'un rapport de remédiation détaillant les actions correctives entreprises pour donner suite aux alertes.</t>
        </is>
      </c>
      <c r="I5" t="inlineStr">
        <is>
          <t>- Transverse -</t>
        </is>
      </c>
      <c r="J5" t="inlineStr"/>
      <c r="K5" t="inlineStr">
        <is>
          <t>RFI/RFP</t>
        </is>
      </c>
      <c r="L5" t="inlineStr">
        <is>
          <t>1.1</t>
        </is>
      </c>
      <c r="M5" t="n">
        <v>9</v>
      </c>
    </row>
    <row r="6">
      <c r="A6" t="inlineStr">
        <is>
          <t>COM-Q-05</t>
        </is>
      </c>
      <c r="B6" t="inlineStr">
        <is>
          <t>Souveraineté numérique</t>
        </is>
      </c>
      <c r="C6" t="inlineStr"/>
      <c r="D6" t="inlineStr"/>
      <c r="E6" t="inlineStr"/>
      <c r="F6" t="inlineStr">
        <is>
          <t>• Comment évaluez-vous les risques (politiques, juridiques ou économiques) liés à vos fournisseurs dont le siège social est situé en dehors de l’Espace Économique Européen ?¶• Quelles solutions de repli ou alternatives techniques avez-vous déjà testées pour pallier une interruption brutale de service essentiel dans le cadre de votre service d'un de vos fournisseurs critiques non-européens ?</t>
        </is>
      </c>
      <c r="G6" t="inlineStr">
        <is>
          <t>• Existence d’un plan d’actions de maitrise des principaux risques identifiés liés à la souveraineté numérique ?¶• Existence d'un plan d'adressage des risques pour les 3 fournisseurs les plus critiques.</t>
        </is>
      </c>
      <c r="H6" t="inlineStr">
        <is>
          <t>• Analyse d'impact business (BIA) dynamique, mise à jour à chaque modification majeure de l'architecture technique.¶• Plan de remédiation complet incluant des tests annuels de basculement (switching) vers des solutions alternatives.</t>
        </is>
      </c>
      <c r="I6" t="inlineStr">
        <is>
          <t>- Transverse -</t>
        </is>
      </c>
      <c r="J6" t="inlineStr"/>
      <c r="K6" t="inlineStr">
        <is>
          <t>RFI/RFP</t>
        </is>
      </c>
      <c r="L6" t="inlineStr">
        <is>
          <t>1.1</t>
        </is>
      </c>
      <c r="M6" t="n">
        <v>9</v>
      </c>
    </row>
    <row r="7">
      <c r="A7" t="inlineStr">
        <is>
          <t>COM-Q-06</t>
        </is>
      </c>
      <c r="B7" t="inlineStr">
        <is>
          <t>Transparence sur l’empreinte environnementale de l’entreprise</t>
        </is>
      </c>
      <c r="C7" t="inlineStr"/>
      <c r="D7" t="inlineStr"/>
      <c r="E7" t="inlineStr"/>
      <c r="F7" t="inlineStr">
        <is>
          <t>• Publiez-vous un bilan carbone complet (scope1, 2 et 3) et normé incluant la consommation d’énergie (méthode ADEME ou GHG Protocol ou l’ISO 14064) ?</t>
        </is>
      </c>
      <c r="G7" t="inlineStr">
        <is>
          <t>Publication dans le rapport annuel</t>
        </is>
      </c>
      <c r="H7" t="inlineStr">
        <is>
          <t>Publication sur la plateforme CDP7 et / ou ADEME8</t>
        </is>
      </c>
      <c r="I7" t="inlineStr">
        <is>
          <t>- Transverse -</t>
        </is>
      </c>
      <c r="J7" t="inlineStr"/>
      <c r="K7" t="inlineStr">
        <is>
          <t>RFI/RFP</t>
        </is>
      </c>
      <c r="L7" t="inlineStr">
        <is>
          <t>1.1</t>
        </is>
      </c>
      <c r="M7" t="n">
        <v>10</v>
      </c>
    </row>
    <row r="8">
      <c r="A8" t="inlineStr">
        <is>
          <t>COM-Q-07</t>
        </is>
      </c>
      <c r="B8" t="inlineStr">
        <is>
          <t>Objectifs globaux de réduction des émissions de gaz à effet de serre</t>
        </is>
      </c>
      <c r="C8" t="inlineStr">
        <is>
          <t>SBTi – Science Based Target Initiative et Climate Neutral Now</t>
        </is>
      </c>
      <c r="D8" t="inlineStr"/>
      <c r="E8" t="inlineStr"/>
      <c r="F8" t="inlineStr">
        <is>
          <t>• Quels sont les objectifs fixés et la trajectoire de réduction des émissions de gaz à effet de serre ?</t>
        </is>
      </c>
      <c r="G8" t="inlineStr">
        <is>
          <t>Objectifs publiés dans le rapport annuel (CSRD)</t>
        </is>
      </c>
      <c r="H8" t="inlineStr">
        <is>
          <t>Objectifs validés par SBTi</t>
        </is>
      </c>
      <c r="I8" t="inlineStr">
        <is>
          <t>- Transverse -</t>
        </is>
      </c>
      <c r="J8" t="inlineStr"/>
      <c r="K8" t="inlineStr">
        <is>
          <t>RFI/RFP</t>
        </is>
      </c>
      <c r="L8" t="inlineStr">
        <is>
          <t>1.1</t>
        </is>
      </c>
      <c r="M8" t="n">
        <v>10</v>
      </c>
    </row>
    <row r="9">
      <c r="A9" t="inlineStr">
        <is>
          <t>COM-Q-08</t>
        </is>
      </c>
      <c r="B9" t="inlineStr">
        <is>
          <t>Empreinte environnementale de la prestation</t>
        </is>
      </c>
      <c r="C9" t="inlineStr">
        <is>
          <t>Une évaluation multicritère :¶¶• Émissions carbone Scope 1, scope 2 Market et Location based, scope 3 (kgCO2)¶• Montant des crédits carbone (CO2 &amp; EUR)¶• Consommation eau (L), énergie (KWh) et déchets (Kg)</t>
        </is>
      </c>
      <c r="D9" t="inlineStr"/>
      <c r="E9" t="inlineStr"/>
      <c r="F9" t="inlineStr">
        <is>
          <t>• Êtes-vous en mesure de réaliser un bilan multicritère environnemental des prestations délivrées ? Si oui, précisez la méthodologie utilisée ?</t>
        </is>
      </c>
      <c r="G9" t="inlineStr">
        <is>
          <t>Bilan carbone en précisant la méthodologie (ADEME ou GHG protocol, …)</t>
        </is>
      </c>
      <c r="H9" t="inlineStr">
        <is>
          <t>Bilan environnementaux élargis (énergie, eau, biodiversité, déchets, ACV, …)</t>
        </is>
      </c>
      <c r="I9" t="inlineStr">
        <is>
          <t>- Transverse -</t>
        </is>
      </c>
      <c r="J9" t="inlineStr"/>
      <c r="K9" t="inlineStr">
        <is>
          <t>RFI/RFP</t>
        </is>
      </c>
      <c r="L9" t="inlineStr">
        <is>
          <t>1.1</t>
        </is>
      </c>
      <c r="M9" t="n">
        <v>10</v>
      </c>
    </row>
    <row r="10">
      <c r="A10" t="inlineStr">
        <is>
          <t>COM-Q-09</t>
        </is>
      </c>
      <c r="B10" t="inlineStr">
        <is>
          <t>Formation Numérique Responsable</t>
        </is>
      </c>
      <c r="C10" t="inlineStr"/>
      <c r="D10" t="inlineStr"/>
      <c r="E10" t="inlineStr"/>
      <c r="F10" t="inlineStr">
        <is>
          <t>• Quel est le parcours de formation des salariés aux enjeux du Numérique responsable ?</t>
        </is>
      </c>
      <c r="G10" t="inlineStr">
        <is>
          <t>Preuve d’une démarche interne de formation incluant le numérique responsable, l’éco-conception et l’accessibilité numérique, avec le détail des contenus et de la durée des modules</t>
        </is>
      </c>
      <c r="H10" t="inlineStr">
        <is>
          <t>Preuve de la professionnalisation des futurs intervenants dans le cadre du marché</t>
        </is>
      </c>
      <c r="I10" t="inlineStr">
        <is>
          <t>- Transverse -</t>
        </is>
      </c>
      <c r="J10" t="inlineStr"/>
      <c r="K10" t="inlineStr">
        <is>
          <t>RFI/RFP</t>
        </is>
      </c>
      <c r="L10" t="inlineStr">
        <is>
          <t>1.1</t>
        </is>
      </c>
      <c r="M10" t="n">
        <v>10</v>
      </c>
    </row>
    <row r="11">
      <c r="A11" t="inlineStr">
        <is>
          <t>COM-Q-10</t>
        </is>
      </c>
      <c r="B11" t="inlineStr">
        <is>
          <t>Déplacements professionnels de la prestation</t>
        </is>
      </c>
      <c r="C11" t="inlineStr">
        <is>
          <t>• Stratégie (volontariste)¶• Modalités de transport faible impact "globe" : train / bateau / autre</t>
        </is>
      </c>
      <c r="D11" t="inlineStr"/>
      <c r="E11" t="inlineStr"/>
      <c r="F11" t="inlineStr">
        <is>
          <t>• Quels moyens sont mis en œuvre pour éviter, limiter, et/ou décarboner les déplacements ?</t>
        </is>
      </c>
      <c r="G11" t="inlineStr">
        <is>
          <t>Politique de voyages déplacements professionnels (priorisation des modes de transport, recours au télétravail et à la visioconférence, etc.)</t>
        </is>
      </c>
      <c r="H11" t="inlineStr">
        <is>
          <t>Stratégie (volontariste)</t>
        </is>
      </c>
      <c r="I11" t="inlineStr">
        <is>
          <t>- Transverse -</t>
        </is>
      </c>
      <c r="J11" t="inlineStr"/>
      <c r="K11" t="inlineStr">
        <is>
          <t>RFI/RFP</t>
        </is>
      </c>
      <c r="L11" t="inlineStr">
        <is>
          <t>1.1</t>
        </is>
      </c>
      <c r="M11" t="n">
        <v>10</v>
      </c>
    </row>
    <row r="12">
      <c r="A12" t="inlineStr">
        <is>
          <t>COM-Q-11</t>
        </is>
      </c>
      <c r="B12" t="inlineStr">
        <is>
          <t>Déplacement domicile / travail</t>
        </is>
      </c>
      <c r="C12" t="inlineStr">
        <is>
          <t>Mobilité des salariés domicile / travail</t>
        </is>
      </c>
      <c r="D12" t="inlineStr"/>
      <c r="E12" t="inlineStr"/>
      <c r="F12" t="inlineStr">
        <is>
          <t>• Quels moyens sont mis en œuvre pour éviter, limiter, et/ou décarboner les déplacements ?</t>
        </is>
      </c>
      <c r="G12" t="inlineStr">
        <is>
          <t>Démarche mobilité durable (forfait mobilité durable, covoiturage, ...)</t>
        </is>
      </c>
      <c r="H12" t="inlineStr"/>
      <c r="I12" t="inlineStr">
        <is>
          <t>- Transverse -</t>
        </is>
      </c>
      <c r="J12" t="inlineStr"/>
      <c r="K12" t="inlineStr">
        <is>
          <t>RFI/RFP</t>
        </is>
      </c>
      <c r="L12" t="inlineStr">
        <is>
          <t>1.1</t>
        </is>
      </c>
      <c r="M12" t="n">
        <v>10</v>
      </c>
    </row>
    <row r="13">
      <c r="A13" t="inlineStr">
        <is>
          <t>COM-Q-12</t>
        </is>
      </c>
      <c r="B13" t="inlineStr">
        <is>
          <t>Compensation CO2</t>
        </is>
      </c>
      <c r="C13" t="inlineStr"/>
      <c r="D13" t="inlineStr"/>
      <c r="E13" t="inlineStr"/>
      <c r="F13" t="inlineStr">
        <is>
          <t>• Quels sont les différents mécanismes de compensation carbone utilisés par les fournisseurs pour réduire l'empreinte carbone de leurs activités, et quelle est la trajectoire de réduction prévue ?</t>
        </is>
      </c>
      <c r="G13" t="inlineStr"/>
      <c r="H13" t="inlineStr"/>
      <c r="I13" t="inlineStr">
        <is>
          <t>- Transverse -</t>
        </is>
      </c>
      <c r="J13" t="inlineStr"/>
      <c r="K13" t="inlineStr">
        <is>
          <t>RFI/RFP</t>
        </is>
      </c>
      <c r="L13" t="inlineStr">
        <is>
          <t>1.1</t>
        </is>
      </c>
      <c r="M13" t="n">
        <v>10</v>
      </c>
    </row>
    <row r="14">
      <c r="A14" t="inlineStr">
        <is>
          <t>COM-Q-13</t>
        </is>
      </c>
      <c r="B14" t="inlineStr">
        <is>
          <t>Immunité Juridique et Souveraineté des Données</t>
        </is>
      </c>
      <c r="C14" t="inlineStr">
        <is>
          <t>Protection contre le Cloud Act (USA) ou lois similaires.</t>
        </is>
      </c>
      <c r="D14" t="inlineStr"/>
      <c r="E14" t="inlineStr"/>
      <c r="F14" t="inlineStr">
        <is>
          <t>Êtes-vous soumis à des lois extraterritoriales permettant à un État tiers d'accéder aux données hébergées ou traitées ?</t>
        </is>
      </c>
      <c r="G14" t="inlineStr">
        <is>
          <t>• Transparence totale sur la soumission aux lois extraterritoriales de toute la chaîne de valeur.¶• Hébergement et support technique assurés exclusivement depuis l'Espace Économique Européen (EEE).¶• Chiffrement des données au repos et en transit avec des algorithmes standards.</t>
        </is>
      </c>
      <c r="H14" t="inlineStr">
        <is>
          <t>• Immunité juridique Siège social, capital et gouvernance située à 100% dans l'UE.¶• Labellisation SecNumCloud (ANSSI) ou qualification équivalente au niveau européen.</t>
        </is>
      </c>
      <c r="I14" t="inlineStr">
        <is>
          <t>- Transverse -</t>
        </is>
      </c>
      <c r="J14" t="inlineStr"/>
      <c r="K14" t="inlineStr">
        <is>
          <t>RFI/RFP</t>
        </is>
      </c>
      <c r="L14" t="inlineStr">
        <is>
          <t>1.1</t>
        </is>
      </c>
      <c r="M14" t="n">
        <v>10</v>
      </c>
    </row>
    <row r="15">
      <c r="A15" t="inlineStr">
        <is>
          <t>COM-Q-14</t>
        </is>
      </c>
      <c r="B15" t="inlineStr">
        <is>
          <t>Localisation des données &amp; traitements</t>
        </is>
      </c>
      <c r="C15" t="inlineStr">
        <is>
          <t>Pilier "Maîtrise des infrastructures"</t>
        </is>
      </c>
      <c r="D15" t="inlineStr"/>
      <c r="E15" t="inlineStr"/>
      <c r="F15" t="inlineStr">
        <is>
          <t>Où sont physiquement stockées et traitées les données (y compris les sauvegardes et les accès support) ?</t>
        </is>
      </c>
      <c r="G15" t="inlineStr">
        <is>
          <t>• Hébergement et traitements garantis au sein de l'Union Européenne (EEE).¶• Support assuré par des équipes situées dans l'EEE ou disposant de clauses contractuelles types (CCT) validées.¶• Recours à un hébergeur ayant son siège social dans l'EEE.¶• Engagement à fournir les rapports d'audit SOC/ISO de l'hébergeur.</t>
        </is>
      </c>
      <c r="H15" t="inlineStr">
        <is>
          <t>• Hébergement et traitements garantis exclusivement sur le territoire de la République Française.¶• Support technique assuré exclusivement par des équipes situées en France, sans aucun accès distant hors territoire national.</t>
        </is>
      </c>
      <c r="I15" t="inlineStr">
        <is>
          <t>- Transverse -</t>
        </is>
      </c>
      <c r="J15" t="inlineStr"/>
      <c r="K15" t="inlineStr">
        <is>
          <t>RFI/RFP</t>
        </is>
      </c>
      <c r="L15" t="inlineStr">
        <is>
          <t>1.1</t>
        </is>
      </c>
      <c r="M15" t="n">
        <v>11</v>
      </c>
    </row>
    <row r="16">
      <c r="A16" t="inlineStr">
        <is>
          <t>COM-Q-15</t>
        </is>
      </c>
      <c r="B16" t="inlineStr">
        <is>
          <t>Structure capitalistique</t>
        </is>
      </c>
      <c r="C16" t="inlineStr">
        <is>
          <t>Notion d'indépendance.</t>
        </is>
      </c>
      <c r="D16" t="inlineStr"/>
      <c r="E16" t="inlineStr"/>
      <c r="F16" t="inlineStr">
        <is>
          <t>Quelle est la part de capitaux non-européens dans votre structure actionnariale ?</t>
        </is>
      </c>
      <c r="G16" t="inlineStr">
        <is>
          <t>Identification claire des bénéficiaires effectifs.</t>
        </is>
      </c>
      <c r="H16" t="inlineStr">
        <is>
          <t>Actionnariat majoritaire européen.</t>
        </is>
      </c>
      <c r="I16" t="inlineStr">
        <is>
          <t>- Transverse -</t>
        </is>
      </c>
      <c r="J16" t="inlineStr"/>
      <c r="K16" t="inlineStr">
        <is>
          <t>RFI/RFP</t>
        </is>
      </c>
      <c r="L16" t="inlineStr">
        <is>
          <t>1.1</t>
        </is>
      </c>
      <c r="M16" t="n">
        <v>11</v>
      </c>
    </row>
    <row r="17">
      <c r="A17" t="inlineStr">
        <is>
          <t>COM-Q-16</t>
        </is>
      </c>
      <c r="B17" t="inlineStr">
        <is>
          <t>Justification et Frugalité du modèle d'IA</t>
        </is>
      </c>
      <c r="C17" t="inlineStr">
        <is>
          <t>« L'IA consomme énormément de ressources. Prouvez-nous que son utilisation soit indispensable pour ce service et que vous avez allégé l'algorithme au maximum pour limiter ses impacts »</t>
        </is>
      </c>
      <c r="D17" t="inlineStr"/>
      <c r="E17" t="inlineStr"/>
      <c r="F17" t="inlineStr">
        <is>
          <t>L'usage de l'IA est-il strictement justifié par le besoin par rapport à une solution logicielle classique ? Avez-vous appliqué des techniques d'optimisation (pruning, quantization) pour réduire l'impact ?</t>
        </is>
      </c>
      <c r="G17" t="inlineStr">
        <is>
          <t>Explication détaillée validant la pertinence de l'IA face aux alternatives classiques.</t>
        </is>
      </c>
      <c r="H17" t="inlineStr">
        <is>
          <t>Preuve d'implémentation de techniques d'optimisation adaptant la complexité au besoin.</t>
        </is>
      </c>
      <c r="I17" t="inlineStr">
        <is>
          <t>- Transverse -</t>
        </is>
      </c>
      <c r="J17" t="inlineStr"/>
      <c r="K17" t="inlineStr">
        <is>
          <t>RFI/RFP</t>
        </is>
      </c>
      <c r="L17" t="inlineStr">
        <is>
          <t>1.1</t>
        </is>
      </c>
      <c r="M17" t="n">
        <v>11</v>
      </c>
    </row>
    <row r="18">
      <c r="A18" t="inlineStr">
        <is>
          <t>COM-Q-17</t>
        </is>
      </c>
      <c r="B18" t="inlineStr">
        <is>
          <t>Éthique, biais et non-discrimination</t>
        </is>
      </c>
      <c r="C18" t="inlineStr">
        <is>
          <t>« Prouvez-nous, tests à l'appui, que votre IA ne reproduit pas de préjugés humains (par exemple, discriminer des usagers selon leur genre ou leur origine). »</t>
        </is>
      </c>
      <c r="D18" t="inlineStr"/>
      <c r="E18" t="inlineStr"/>
      <c r="F18" t="inlineStr">
        <is>
          <t>Comment veillez-vous à ce que les modèles d'IA ne discriminent pas les individus (race, sexe, âge) ? Quels tests anti-biais avez-vous mis en œuvre ?</t>
        </is>
      </c>
      <c r="G18" t="inlineStr">
        <is>
          <t>Transparence et explicabilité des décisions prises par l'IA garanties aux utilisateurs</t>
        </is>
      </c>
      <c r="H18" t="inlineStr">
        <is>
          <t>Résultats d'audits anti-biais fournis avec plan de remédiation documenté</t>
        </is>
      </c>
      <c r="I18" t="inlineStr">
        <is>
          <t>- Transverse -</t>
        </is>
      </c>
      <c r="J18" t="inlineStr"/>
      <c r="K18" t="inlineStr">
        <is>
          <t>RFI/RFP</t>
        </is>
      </c>
      <c r="L18" t="inlineStr">
        <is>
          <t>1.1</t>
        </is>
      </c>
      <c r="M18" t="n">
        <v>11</v>
      </c>
    </row>
    <row r="19">
      <c r="A19" t="inlineStr">
        <is>
          <t>COM-E-01</t>
        </is>
      </c>
      <c r="B19" t="inlineStr">
        <is>
          <t>Le TITULAIRE doit avoir une démarche RSE</t>
        </is>
      </c>
      <c r="C19" t="inlineStr"/>
      <c r="D19" t="inlineStr">
        <is>
          <t>Le Titulaire a mis en place une démarche RSE au sein de son Entreprise, et en fournit la preuve (certifications, labels¶¶…). Attention dans le cadre de la commande publique, il convient d’être vigilant à ne pas solliciter ce type d’éléments, ceux-ci pouvant être susceptibles de caractériser une rupture du principe d’égalité de traitement entre les candidats</t>
        </is>
      </c>
      <c r="E19" t="inlineStr">
        <is>
          <t>Présentation d’un ou plusieurs certificats/labels durant toute la durée du contrat</t>
        </is>
      </c>
      <c r="F19" t="inlineStr"/>
      <c r="G19" t="inlineStr">
        <is>
          <t>Certification/labellisation existante durant toute la durée du contrat</t>
        </is>
      </c>
      <c r="H19" t="inlineStr"/>
      <c r="I19" t="inlineStr">
        <is>
          <t>- Transverse -</t>
        </is>
      </c>
      <c r="J19" t="inlineStr"/>
      <c r="K19" t="inlineStr">
        <is>
          <t>CCAP &amp; CCTP</t>
        </is>
      </c>
      <c r="L19" t="inlineStr">
        <is>
          <t>1.2</t>
        </is>
      </c>
      <c r="M19" t="n">
        <v>11</v>
      </c>
    </row>
    <row r="20">
      <c r="A20" t="inlineStr">
        <is>
          <t>COM-E-02</t>
        </is>
      </c>
      <c r="B20" t="inlineStr">
        <is>
          <t>Clause de formation au Numérique Responsable</t>
        </is>
      </c>
      <c r="C20" t="inlineStr"/>
      <c r="D20" t="inlineStr">
        <is>
          <t>Le Titulaire explicite les actions pour faire monter en compétence les intervenants en matière de numérique responsable (accessibilité numérique, écoconception des produits et services numériques, utilisation et intégration des IA …)</t>
        </is>
      </c>
      <c r="E20" t="inlineStr">
        <is>
          <t>Attestations de stage ou plan de formation des intervenants dans les pièces de l’offre</t>
        </is>
      </c>
      <c r="F20" t="inlineStr"/>
      <c r="G20" t="inlineStr">
        <is>
          <t>• Taux de professionnalisation de 70% : Chaque intervenant a suivi au moins une sensibilisation de base au NR.¶• Formation IA Éthique &amp; Frugale : Sensibilisation des profils Data/Dev à l'IA éthique et frugale, avec communication d'une certification, d'une preuve de suivi ou équivalent.</t>
        </is>
      </c>
      <c r="H20" t="inlineStr">
        <is>
          <t>• Certifications individuelles reconnues : Détention de certifications type "Opquast" (niveau expert) ou "Certification NR" de l'INR par les profils cadres.¶• Présence au sein de l'équipe d'un "Référent Numérique Responsable" certifié, chargé du tutorat des autres membres.¶• Usage des référentiels : Capacité à démontrer l'utilisation opérationnelle du RGESN ou du GR491 dans les projets passés ou équivalent</t>
        </is>
      </c>
      <c r="I20" t="inlineStr">
        <is>
          <t>- Transverse -</t>
        </is>
      </c>
      <c r="J20" t="inlineStr"/>
      <c r="K20" t="inlineStr">
        <is>
          <t>CCAP &amp; CCTP</t>
        </is>
      </c>
      <c r="L20" t="inlineStr">
        <is>
          <t>1.2</t>
        </is>
      </c>
      <c r="M20" t="n">
        <v>12</v>
      </c>
    </row>
    <row r="21">
      <c r="A21" t="inlineStr">
        <is>
          <t>COM-E-03</t>
        </is>
      </c>
      <c r="B21" t="inlineStr">
        <is>
          <t>Le TITULAIRE doit mesurer l’empreinte carbone de la prestation effectuée et s’engager à la minimiser</t>
        </is>
      </c>
      <c r="C21" t="inlineStr"/>
      <c r="D21" t="inlineStr">
        <is>
          <t>Préciser la méthodologie et les hypothèses de calcul</t>
        </is>
      </c>
      <c r="E21" t="inlineStr">
        <is>
          <t>Fourniture de rapports de mesure de l’empreinte carbone de la prestation effectuée et une trajectoire de décarbonation</t>
        </is>
      </c>
      <c r="F21" t="inlineStr"/>
      <c r="G21" t="inlineStr">
        <is>
          <t>Pilotage de l’empreinte carbone et leviers de réduction</t>
        </is>
      </c>
      <c r="H21" t="inlineStr"/>
      <c r="I21" t="inlineStr">
        <is>
          <t>- Transverse -</t>
        </is>
      </c>
      <c r="J21" t="inlineStr"/>
      <c r="K21" t="inlineStr">
        <is>
          <t>CCAP &amp; CCTP</t>
        </is>
      </c>
      <c r="L21" t="inlineStr">
        <is>
          <t>1.2</t>
        </is>
      </c>
      <c r="M21" t="n">
        <v>12</v>
      </c>
    </row>
    <row r="22">
      <c r="A22" t="inlineStr">
        <is>
          <t>COM-E-04</t>
        </is>
      </c>
      <c r="B22" t="inlineStr">
        <is>
          <t>Garantie de non-accès tiers</t>
        </is>
      </c>
      <c r="C22" t="inlineStr"/>
      <c r="D22" t="inlineStr">
        <is>
          <t>Garantie qu'aucune autorité d'un pays tiers ne peut accéder aux données qualifiées de sensibles sans commission rogatoire internationale validée par un juge UE</t>
        </is>
      </c>
      <c r="E22" t="inlineStr">
        <is>
          <t>Clause contractuelle spécifique.</t>
        </is>
      </c>
      <c r="F22" t="inlineStr"/>
      <c r="G22" t="inlineStr">
        <is>
          <t>Zéro accès non autorisé administrativement.</t>
        </is>
      </c>
      <c r="H22" t="inlineStr"/>
      <c r="I22" t="inlineStr">
        <is>
          <t>- Transverse -</t>
        </is>
      </c>
      <c r="J22" t="inlineStr"/>
      <c r="K22" t="inlineStr">
        <is>
          <t>CCAP &amp; CCTP</t>
        </is>
      </c>
      <c r="L22" t="inlineStr">
        <is>
          <t>1.2</t>
        </is>
      </c>
      <c r="M22" t="n">
        <v>12</v>
      </c>
    </row>
    <row r="23">
      <c r="A23" t="inlineStr">
        <is>
          <t>COM-E-05</t>
        </is>
      </c>
      <c r="B23" t="inlineStr">
        <is>
          <t>Trajectoire de résilience</t>
        </is>
      </c>
      <c r="C23" t="inlineStr"/>
      <c r="D23" t="inlineStr">
        <is>
          <t>Maintien ou amélioration du niveau de résilience (IRN) et capacité à opérer en mode dégradé.</t>
        </is>
      </c>
      <c r="E23" t="inlineStr">
        <is>
          <t>Rapport annuel de résilience (incluant tests PCA/PRA).</t>
        </is>
      </c>
      <c r="F23" t="inlineStr"/>
      <c r="G23" t="inlineStr">
        <is>
          <t>Aucune régression du score. Tests de restauration réussis.</t>
        </is>
      </c>
      <c r="H23" t="inlineStr"/>
      <c r="I23" t="inlineStr">
        <is>
          <t>- Transverse -</t>
        </is>
      </c>
      <c r="J23" t="inlineStr"/>
      <c r="K23" t="inlineStr">
        <is>
          <t>CCAP &amp; CCTP</t>
        </is>
      </c>
      <c r="L23" t="inlineStr">
        <is>
          <t>1.2</t>
        </is>
      </c>
      <c r="M23" t="n">
        <v>12</v>
      </c>
    </row>
    <row r="24">
      <c r="A24" t="inlineStr">
        <is>
          <t>COM-E-06</t>
        </is>
      </c>
      <c r="B24" t="inlineStr">
        <is>
          <t>Cartographie des flux</t>
        </is>
      </c>
      <c r="C24" t="inlineStr"/>
      <c r="D24" t="inlineStr">
        <is>
          <t>Cartographie des flux de données (géographiques/applicatifs) incluant les sous-traitants.</t>
        </is>
      </c>
      <c r="E24" t="inlineStr">
        <is>
          <t>Cartographie des données et liste des sous-traitants (pays).</t>
        </is>
      </c>
      <c r="F24" t="inlineStr"/>
      <c r="G24" t="inlineStr">
        <is>
          <t>Mise à jour annuelle</t>
        </is>
      </c>
      <c r="H24" t="inlineStr"/>
      <c r="I24" t="inlineStr">
        <is>
          <t>- Transverse -</t>
        </is>
      </c>
      <c r="J24" t="inlineStr"/>
      <c r="K24" t="inlineStr">
        <is>
          <t>CCAP &amp; CCTP</t>
        </is>
      </c>
      <c r="L24" t="inlineStr">
        <is>
          <t>1.2</t>
        </is>
      </c>
      <c r="M24" t="n">
        <v>12</v>
      </c>
    </row>
    <row r="25">
      <c r="A25" t="inlineStr">
        <is>
          <t>COM-E-07</t>
        </is>
      </c>
      <c r="B25" t="inlineStr">
        <is>
          <t>Clause de responsabilité sociale et éthique de l'IA</t>
        </is>
      </c>
      <c r="C25" t="inlineStr"/>
      <c r="D25" t="inlineStr">
        <is>
          <t>Le Titulaire garantit que les systèmes d’intelligence artificielle (SIA) développés ou intégrés dans le cadre du Marché sont conçus et exploités de manière loyale, transparente et explicable.¶¶• Lutte contre les biais : Le Titulaire s'engage à mettre en œuvre des protocoles de test rigoureux sur les données d'entraînement et les algorithmes pour identifier et neutraliser tout biais discriminatoire (genre, origine, handicap, etc.).¶• Explicabilité : Le Titulaire doit être en mesure d'expliciter la logique de décision du modèle et de fournir un niveau de transparence adapté au niveau de risque du système selon la classification de l'IA Act.¶• Impact Social : Le Titulaire s'engage à réaliser une évaluation régulière des impacts de la solution sur les droits fondamentaux et les conditions de travail des utilisateurs.</t>
        </is>
      </c>
      <c r="E25" t="inlineStr">
        <is>
          <t>• Rapport d'audit éthique et de non-discrimination : Document certifiant les tests de biais réalisés et les mesures correctives appliquées.¶• Documentation technique d'explicabilité : Note expliquant le fonctionnement du modèle, les variables d'entrée majeures et les limites de l'algorithme.¶• Analyse d'Impact sur les Droits Fondamentaux (FRIA) : Pour les systèmes à haut risque, conformément aux exigences de l'IA Act.</t>
        </is>
      </c>
      <c r="F25" t="inlineStr"/>
      <c r="G25" t="inlineStr">
        <is>
          <t>• Respect strict des obligations liées à la catégorie de risque du système (ex : marquage CE pour le haut risque).¶• Fourniture d'une fiche d'information utilisateur claire sur l'usage d'une IA et ses finalités.¶• Tests de robustesse sur des jeux de données représentatifs et non-discriminatoires.¶• Garantie d'un mécanisme de "Human-in-the-loop" permettant à un opérateur d'outrepasser l'IA.</t>
        </is>
      </c>
      <c r="H25" t="inlineStr">
        <is>
          <t>• Application des critères "Haut Risque" même pour des systèmes à risque limité.¶• Interface d'explicabilité (XAI) permettant à l'utilisateur final de comprendre "pourquoi" une décision a été prise.¶• Certification GEEIS-AI ou audit par un cabinet tiers indépendant spécialisé en éthique algorithmique.¶• Comité d'éthique dédié au projet incluant des experts externes et des représentants des parties prenantes.</t>
        </is>
      </c>
      <c r="I25" t="inlineStr">
        <is>
          <t>- Transverse -</t>
        </is>
      </c>
      <c r="J25" t="inlineStr"/>
      <c r="K25" t="inlineStr">
        <is>
          <t>CCAP &amp; CCTP</t>
        </is>
      </c>
      <c r="L25" t="inlineStr">
        <is>
          <t>1.2</t>
        </is>
      </c>
      <c r="M25" t="n">
        <v>12</v>
      </c>
    </row>
    <row r="26">
      <c r="A26" t="inlineStr">
        <is>
          <t>COM-E-08</t>
        </is>
      </c>
      <c r="B26" t="inlineStr">
        <is>
          <t>Maintien de la Frugalité</t>
        </is>
      </c>
      <c r="C26" t="inlineStr"/>
      <c r="D26" t="inlineStr">
        <is>
          <t>Engagement de non-augmentation de la complexité algorithmique sans gain métier prouvé. Protection contre l'obsolescence induite</t>
        </is>
      </c>
      <c r="E26" t="inlineStr">
        <is>
          <t>Notification technique préalable détaillant l'impact sur les ressources (CPU/RAM)</t>
        </is>
      </c>
      <c r="F26" t="inlineStr"/>
      <c r="G26" t="inlineStr">
        <is>
          <t>Possibilité de rester sur une version antérieure plus frugale.</t>
        </is>
      </c>
      <c r="H26" t="inlineStr">
        <is>
          <t>Garantie "Iso-ressources" : les mises à jour n'alourdissent pas la consommation énergétique.</t>
        </is>
      </c>
      <c r="I26" t="inlineStr">
        <is>
          <t>- Transverse -</t>
        </is>
      </c>
      <c r="J26" t="inlineStr"/>
      <c r="K26" t="inlineStr">
        <is>
          <t>CCAP &amp; CCTP</t>
        </is>
      </c>
      <c r="L26" t="inlineStr">
        <is>
          <t>1.2</t>
        </is>
      </c>
      <c r="M26" t="n">
        <v>13</v>
      </c>
    </row>
    <row r="27">
      <c r="A27" t="inlineStr">
        <is>
          <t>COM-E-09</t>
        </is>
      </c>
      <c r="B27" t="inlineStr">
        <is>
          <t>Stockage responsable</t>
        </is>
      </c>
      <c r="C27" t="inlineStr"/>
      <c r="D27" t="inlineStr">
        <is>
          <t>Mise en œuvre d'une architecture de stockage différenciée. Séparation technique des stockages "chauds" et "froids".</t>
        </is>
      </c>
      <c r="E27" t="inlineStr">
        <is>
          <t>Schéma d'architecture de stockage et politique de rétention.</t>
        </is>
      </c>
      <c r="F27" t="inlineStr"/>
      <c r="G27" t="inlineStr">
        <is>
          <t>Politique d'archivage automatique et suppression des données obsolètes.</t>
        </is>
      </c>
      <c r="H27" t="inlineStr">
        <is>
          <t>Stockage 100 % décarboné (centres de données à très faible PUE &lt; 1,2).</t>
        </is>
      </c>
      <c r="I27" t="inlineStr">
        <is>
          <t>- Transverse -</t>
        </is>
      </c>
      <c r="J27" t="inlineStr"/>
      <c r="K27" t="inlineStr">
        <is>
          <t>CCAP &amp; CCTP</t>
        </is>
      </c>
      <c r="L27" t="inlineStr">
        <is>
          <t>1.2</t>
        </is>
      </c>
      <c r="M27" t="n">
        <v>13</v>
      </c>
    </row>
    <row r="28">
      <c r="A28" t="inlineStr">
        <is>
          <t>COM-E-10</t>
        </is>
      </c>
      <c r="B28" t="inlineStr">
        <is>
          <t>Pilotage de la Localisation</t>
        </is>
      </c>
      <c r="C28" t="inlineStr"/>
      <c r="D28" t="inlineStr">
        <is>
          <t>Documentation précise de la localisation géographique des infrastructures pour évaluer l'intensité carbone locale.</t>
        </is>
      </c>
      <c r="E28" t="inlineStr">
        <is>
          <t>Cartographie annuelle des centres de données et indicateurs locaux.</t>
        </is>
      </c>
      <c r="F28" t="inlineStr"/>
      <c r="G28" t="inlineStr">
        <is>
          <t>Déclaration précise du pays et de la région d'hébergement.</t>
        </is>
      </c>
      <c r="H28" t="inlineStr">
        <is>
          <t>Interface de pilotage en temps réel avec choix de la localisation par l’ENTREPRISE.</t>
        </is>
      </c>
      <c r="I28" t="inlineStr">
        <is>
          <t>- Transverse -</t>
        </is>
      </c>
      <c r="J28" t="inlineStr"/>
      <c r="K28" t="inlineStr">
        <is>
          <t>CCAP &amp; CCTP</t>
        </is>
      </c>
      <c r="L28" t="inlineStr">
        <is>
          <t>1.2</t>
        </is>
      </c>
      <c r="M28" t="n">
        <v>13</v>
      </c>
    </row>
    <row r="29">
      <c r="A29" t="inlineStr">
        <is>
          <t>MAT-Q-01</t>
        </is>
      </c>
      <c r="B29" t="inlineStr">
        <is>
          <t>Écolabels/certification de produits</t>
        </is>
      </c>
      <c r="C29" t="inlineStr">
        <is>
          <t>Ordinateurs</t>
        </is>
      </c>
      <c r="D29" t="inlineStr"/>
      <c r="E29" t="inlineStr"/>
      <c r="F29"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29" t="inlineStr">
        <is>
          <t>EPEAT ou Energy star[1] ou équivalent¶[1] https://www.energystar.gov/products/how-product-earns-energy-star-label</t>
        </is>
      </c>
      <c r="H29" t="inlineStr">
        <is>
          <t>EPEAT SILVER/GOLD et TCO[2] ou équivalent¶[2] https://tcocertified.com/fr/product-finder/</t>
        </is>
      </c>
      <c r="I29" t="inlineStr">
        <is>
          <t>Matériels</t>
        </is>
      </c>
      <c r="J29" t="inlineStr">
        <is>
          <t>Bureautiques</t>
        </is>
      </c>
      <c r="K29" t="inlineStr">
        <is>
          <t>RFI/RFP</t>
        </is>
      </c>
      <c r="L29" t="inlineStr">
        <is>
          <t>2.1</t>
        </is>
      </c>
      <c r="M29" t="n">
        <v>15</v>
      </c>
    </row>
    <row r="30">
      <c r="A30" t="inlineStr">
        <is>
          <t>MAT-Q-02</t>
        </is>
      </c>
      <c r="B30" t="inlineStr">
        <is>
          <t>Écolabels/certification de produits</t>
        </is>
      </c>
      <c r="C30" t="inlineStr">
        <is>
          <t>Écran</t>
        </is>
      </c>
      <c r="D30" t="inlineStr"/>
      <c r="E30" t="inlineStr"/>
      <c r="F30"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30" t="inlineStr">
        <is>
          <t>EPEAT ou Energy star[3] ou équivalent¶[3] https://www.energystar.gov/products/how-product-earns-energy-star-label</t>
        </is>
      </c>
      <c r="H30" t="inlineStr">
        <is>
          <t>EPEAT et TCO et Energy star ou équivalent</t>
        </is>
      </c>
      <c r="I30" t="inlineStr">
        <is>
          <t>Matériels</t>
        </is>
      </c>
      <c r="J30" t="inlineStr">
        <is>
          <t>Bureautiques</t>
        </is>
      </c>
      <c r="K30" t="inlineStr">
        <is>
          <t>RFI/RFP</t>
        </is>
      </c>
      <c r="L30" t="inlineStr">
        <is>
          <t>2.1</t>
        </is>
      </c>
      <c r="M30" t="n">
        <v>15</v>
      </c>
    </row>
    <row r="31">
      <c r="A31" t="inlineStr">
        <is>
          <t>MAT-Q-03</t>
        </is>
      </c>
      <c r="B31" t="inlineStr">
        <is>
          <t>Écolabels/certification de produits</t>
        </is>
      </c>
      <c r="C31" t="inlineStr">
        <is>
          <t>Imprimantes / Imprimantes Multifonctions</t>
        </is>
      </c>
      <c r="D31" t="inlineStr"/>
      <c r="E31" t="inlineStr"/>
      <c r="F31"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31" t="inlineStr">
        <is>
          <t>Blue Angel[4] ou Energy star ou équivalent¶[4] https://www.blauer-engel.de/en/productworld/printers-and-multifunction-devices</t>
        </is>
      </c>
      <c r="H31" t="inlineStr">
        <is>
          <t>Blue Angel et¶¶Energy star ou équivalent</t>
        </is>
      </c>
      <c r="I31" t="inlineStr">
        <is>
          <t>Matériels</t>
        </is>
      </c>
      <c r="J31" t="inlineStr">
        <is>
          <t>Bureautiques</t>
        </is>
      </c>
      <c r="K31" t="inlineStr">
        <is>
          <t>RFI/RFP</t>
        </is>
      </c>
      <c r="L31" t="inlineStr">
        <is>
          <t>2.1</t>
        </is>
      </c>
      <c r="M31" t="n">
        <v>15</v>
      </c>
    </row>
    <row r="32">
      <c r="A32" t="inlineStr">
        <is>
          <t>MAT-Q-04</t>
        </is>
      </c>
      <c r="B32" t="inlineStr">
        <is>
          <t>Écolabels/certification de produits</t>
        </is>
      </c>
      <c r="C32" t="inlineStr">
        <is>
          <t>Smartphones / Tablettes</t>
        </is>
      </c>
      <c r="D32" t="inlineStr"/>
      <c r="E32" t="inlineStr"/>
      <c r="F32"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32" t="inlineStr">
        <is>
          <t>EPEAT (niveau base) ou score de réparabilité &gt; 7/10 ou équivalent</t>
        </is>
      </c>
      <c r="H32" t="inlineStr">
        <is>
          <t>EPEAT SILVER/GOLD¶¶Ou certification TCO Certified ou équivalent</t>
        </is>
      </c>
      <c r="I32" t="inlineStr">
        <is>
          <t>Matériels</t>
        </is>
      </c>
      <c r="J32" t="inlineStr">
        <is>
          <t>Bureautiques</t>
        </is>
      </c>
      <c r="K32" t="inlineStr">
        <is>
          <t>RFI/RFP</t>
        </is>
      </c>
      <c r="L32" t="inlineStr">
        <is>
          <t>2.1</t>
        </is>
      </c>
      <c r="M32" t="n">
        <v>15</v>
      </c>
    </row>
    <row r="33">
      <c r="A33" t="inlineStr">
        <is>
          <t>MAT-Q-05</t>
        </is>
      </c>
      <c r="B33" t="inlineStr">
        <is>
          <t>Écolabels/certification de produits</t>
        </is>
      </c>
      <c r="C33" t="inlineStr">
        <is>
          <t>Équipements en datacenter (serveurs, baies de stockage, réseaux, mainframe, …)</t>
        </is>
      </c>
      <c r="D33" t="inlineStr"/>
      <c r="E33" t="inlineStr"/>
      <c r="F33"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33" t="inlineStr">
        <is>
          <t>Certification E*nergy Star* ou EPEAT[5] BRONZE ou équivalent¶[5] https://www.epeat.net/</t>
        </is>
      </c>
      <c r="H33" t="inlineStr">
        <is>
          <t>EPEAT SILVER/GOLD et TCO ou équivalent</t>
        </is>
      </c>
      <c r="I33" t="inlineStr">
        <is>
          <t>Matériels</t>
        </is>
      </c>
      <c r="J33" t="inlineStr">
        <is>
          <t>Data centers</t>
        </is>
      </c>
      <c r="K33" t="inlineStr">
        <is>
          <t>RFI/RFP</t>
        </is>
      </c>
      <c r="L33" t="inlineStr">
        <is>
          <t>2.1</t>
        </is>
      </c>
      <c r="M33" t="n">
        <v>15</v>
      </c>
    </row>
    <row r="34">
      <c r="A34" t="inlineStr">
        <is>
          <t>MAT-Q-06</t>
        </is>
      </c>
      <c r="B34" t="inlineStr">
        <is>
          <t>Écolabels/certification de produits</t>
        </is>
      </c>
      <c r="C34" t="inlineStr">
        <is>
          <t>Alimentation électrique</t>
        </is>
      </c>
      <c r="D34" t="inlineStr"/>
      <c r="E34" t="inlineStr"/>
      <c r="F34" t="inlineStr">
        <is>
          <t>• Pour chaque catégorie de matériel proposé (PC, écrans, serveurs, mobiles), quels sont les écolabels de type I (ISO 14024) dont bénéficient les équipements ?¶• Comment garantissez-vous que le matériel fourni respecte les critères les plus stricts en matière de réduction des substances dangereuses et de durabilité (réparabilité, disponibilité des pièces) ?¶• Quel est le niveau d'efficacité énergétique certifié pour les blocs d'alimentation et les composants actifs (CPU) des équipements livrés ?¶• Quel processus mettez-vous en œuvre pour garantir que tout matériel de remplacement ou de montée en gamme en cours de contrat maintiendra ou dépassera ce niveau d'exigence ?</t>
        </is>
      </c>
      <c r="G34" t="inlineStr">
        <is>
          <t>Certification 80 PLUS BRONZE ou équivalent</t>
        </is>
      </c>
      <c r="H34" t="inlineStr">
        <is>
          <t>Certification 80 PLUS GOLD, PLATINIUM ou TITANIUM ou équivalent</t>
        </is>
      </c>
      <c r="I34" t="inlineStr">
        <is>
          <t>Matériels</t>
        </is>
      </c>
      <c r="J34" t="inlineStr">
        <is>
          <t>Data centers</t>
        </is>
      </c>
      <c r="K34" t="inlineStr">
        <is>
          <t>RFI/RFP</t>
        </is>
      </c>
      <c r="L34" t="inlineStr">
        <is>
          <t>2.1</t>
        </is>
      </c>
      <c r="M34" t="n">
        <v>15</v>
      </c>
    </row>
    <row r="35">
      <c r="A35" t="inlineStr">
        <is>
          <t>MAT-Q-07</t>
        </is>
      </c>
      <c r="B35" t="inlineStr">
        <is>
          <t>Performance énergétique - Efficacité énergétique</t>
        </is>
      </c>
      <c r="C35" t="inlineStr">
        <is>
          <t>Équipements en datacenter</t>
        </is>
      </c>
      <c r="D35" t="inlineStr"/>
      <c r="E35" t="inlineStr"/>
      <c r="F35" t="inlineStr">
        <is>
          <t>• Pour chaque type d'équipement mobilisé (serveurs, stockage, réseau), pouvez-vous fournir une matrice de consommation électrique détaillée incluant les trois états suivants : Pleine charge (100%), Charge nominale (50%) et Mode veille (Idle/Standby) ?¶• Quel est le ratio entre la consommation en mode veille et la consommation en charge maximale pour vos équipements ? Comment ce ratio se compare-t-il aux standards de l'état de l'art (ex: Code de conduite européen sur les centres de données) ?¶• Quel est le niveau de certification 80 PLUS des blocs d'alimentation (PSU) utilisés dans vos serveurs ? (Note : Le niveau Titanium est ici la cible d'excellence).¶• Quelle est votre politique de renouvellement du matériel ? Comment garantissez-vous que les processeurs (CPU) utilisés offrent le meilleur ratio Performance/Watt disponible au moment de la mise en production ?¶• Quelles sont les fonctionnalités de Power Management (gestion de l'énergie) activées nativement sur vos infrastructures pour réduire la consommation lors des phases de faible sollicitation ?¶• Disposez-vous d'outils d'orchestration permettant la mise hors tension automatique ou la mise en sommeil profonde des nœuds de calcul non sollicités (lutte contre les "serveurs fantômes") ? Si oui, décrivez le fonctionnement.</t>
        </is>
      </c>
      <c r="G35" t="inlineStr">
        <is>
          <t>• Fourniture obligatoire des valeurs de consommation pleine charge / veille pour chaque équipement.¶• Certification 80 PLUS Bronze ou équivalent au minimum pour tous les équipements datacenter.¶• Présence de fonctionnalités natives de gestion d'énergie (mise en veille automatique des composants non sollicités).</t>
        </is>
      </c>
      <c r="H35" t="inlineStr">
        <is>
          <t>• Alimentations certifiées 80 PLUS PLATINIUM ou TITANIUM, ou équivalent (rendement &gt; 94%).¶• Utilisation de processeurs de dernière génération avec un rapport performance/watt supérieur de 20% à la génération précédente.¶• Engagement sur une consommation en veille ne dépassant pas 10% de la consommation en pleine charge.¶• Équipements conçus pour fonctionner à des températures ambiantes plus élevées (permettant de réduire le besoin en climatisation du datacenter).</t>
        </is>
      </c>
      <c r="I35" t="inlineStr">
        <is>
          <t>Matériels</t>
        </is>
      </c>
      <c r="J35" t="inlineStr">
        <is>
          <t>Data centers</t>
        </is>
      </c>
      <c r="K35" t="inlineStr">
        <is>
          <t>RFI/RFP</t>
        </is>
      </c>
      <c r="L35" t="inlineStr">
        <is>
          <t>2.1</t>
        </is>
      </c>
      <c r="M35" t="n">
        <v>15</v>
      </c>
    </row>
    <row r="36">
      <c r="A36" t="inlineStr">
        <is>
          <t>MAT-Q-08</t>
        </is>
      </c>
      <c r="B36" t="inlineStr">
        <is>
          <t>Logistique Durable</t>
        </is>
      </c>
      <c r="C36" t="inlineStr"/>
      <c r="D36" t="inlineStr"/>
      <c r="E36" t="inlineStr"/>
      <c r="F36" t="inlineStr">
        <is>
          <t>Quelle est votre stratégie de décarbonation du transport et d’optimisation des flux (stock local, circuits courts, livraison groupée) ?</t>
        </is>
      </c>
      <c r="G36" t="inlineStr">
        <is>
          <t>Existence d’une charte logistique durable et d'un suivi des émissions liées au transport.</t>
        </is>
      </c>
      <c r="H36" t="inlineStr">
        <is>
          <t>Preuve de résultats chiffrés (ex: -15% d’émissions CO2 sur le transport) et recours à la mobilité douce pour le "dernier kilomètre".</t>
        </is>
      </c>
      <c r="I36" t="inlineStr">
        <is>
          <t>Matériels</t>
        </is>
      </c>
      <c r="J36" t="inlineStr">
        <is>
          <t>- Transverse -</t>
        </is>
      </c>
      <c r="K36" t="inlineStr">
        <is>
          <t>RFI/RFP</t>
        </is>
      </c>
      <c r="L36" t="inlineStr">
        <is>
          <t>2.1</t>
        </is>
      </c>
      <c r="M36" t="n">
        <v>16</v>
      </c>
    </row>
    <row r="37">
      <c r="A37" t="inlineStr">
        <is>
          <t>MAT-Q-09</t>
        </is>
      </c>
      <c r="B37" t="inlineStr">
        <is>
          <t>MCO &amp; Réparabilité</t>
        </is>
      </c>
      <c r="C37" t="inlineStr">
        <is>
          <t>Durée de la MCO</t>
        </is>
      </c>
      <c r="D37" t="inlineStr"/>
      <c r="E37" t="inlineStr"/>
      <c r="F37" t="inlineStr">
        <is>
          <t>Quelle est la durée contractuelle de maintien en condition opérationnelle (MCO) et de disponibilité des pièces ?</t>
        </is>
      </c>
      <c r="G37" t="inlineStr">
        <is>
          <t>5 ans minimum pour les laptops/fixes ; 3 ans pour tablettes/mobiles.</t>
        </is>
      </c>
      <c r="H37" t="inlineStr">
        <is>
          <t>7 ans de MCO et de disponibilité garantie des pièces détachées.</t>
        </is>
      </c>
      <c r="I37" t="inlineStr">
        <is>
          <t>Matériels</t>
        </is>
      </c>
      <c r="J37" t="inlineStr">
        <is>
          <t>- Transverse -</t>
        </is>
      </c>
      <c r="K37" t="inlineStr">
        <is>
          <t>RFI/RFP</t>
        </is>
      </c>
      <c r="L37" t="inlineStr">
        <is>
          <t>2.1</t>
        </is>
      </c>
      <c r="M37" t="n">
        <v>16</v>
      </c>
    </row>
    <row r="38">
      <c r="A38" t="inlineStr">
        <is>
          <t>MAT-Q-10</t>
        </is>
      </c>
      <c r="B38" t="inlineStr">
        <is>
          <t>MCO &amp; Réparabilité</t>
        </is>
      </c>
      <c r="C38" t="inlineStr">
        <is>
          <t>Indice de Réparabilité</t>
        </is>
      </c>
      <c r="D38" t="inlineStr"/>
      <c r="E38" t="inlineStr"/>
      <c r="F38" t="inlineStr">
        <is>
          <t>Quel est l’indice de réparabilité (officiel français) moyen des équipements proposés ?</t>
        </is>
      </c>
      <c r="G38" t="inlineStr">
        <is>
          <t>Moyenne &gt; 6,1/10 sur l'ensemble du lot.</t>
        </is>
      </c>
      <c r="H38" t="inlineStr">
        <is>
          <t>Moyenne &gt; 8,1/10 avec fourniture de guides de réparation en libre accès.</t>
        </is>
      </c>
      <c r="I38" t="inlineStr">
        <is>
          <t>Matériels</t>
        </is>
      </c>
      <c r="J38" t="inlineStr">
        <is>
          <t>Bureautiques</t>
        </is>
      </c>
      <c r="K38" t="inlineStr">
        <is>
          <t>RFI/RFP</t>
        </is>
      </c>
      <c r="L38" t="inlineStr">
        <is>
          <t>2.1</t>
        </is>
      </c>
      <c r="M38" t="n">
        <v>16</v>
      </c>
    </row>
    <row r="39">
      <c r="A39" t="inlineStr">
        <is>
          <t>MAT-Q-11</t>
        </is>
      </c>
      <c r="B39" t="inlineStr">
        <is>
          <t>Économie circulaire</t>
        </is>
      </c>
      <c r="C39" t="inlineStr">
        <is>
          <t>En cas de location de matériels</t>
        </is>
      </c>
      <c r="D39" t="inlineStr"/>
      <c r="E39" t="inlineStr"/>
      <c r="F39" t="inlineStr">
        <is>
          <t>Quel est le taux de matières recyclées intégrées et le processus de valorisation en fin de contrat ?</t>
        </is>
      </c>
      <c r="G39" t="inlineStr">
        <is>
          <t>Description du process de valorisation (reconditionnement/recyclage) formalisé.</t>
        </is>
      </c>
      <c r="H39" t="inlineStr">
        <is>
          <t>&gt; 30% d'aluminium ou plastique recyclé dans le produit neuf et 100% de réemploi via reconditionnement.</t>
        </is>
      </c>
      <c r="I39" t="inlineStr">
        <is>
          <t>Matériels</t>
        </is>
      </c>
      <c r="J39" t="inlineStr">
        <is>
          <t>- Transverse -</t>
        </is>
      </c>
      <c r="K39" t="inlineStr">
        <is>
          <t>RFI/RFP</t>
        </is>
      </c>
      <c r="L39" t="inlineStr">
        <is>
          <t>2.1</t>
        </is>
      </c>
      <c r="M39" t="n">
        <v>16</v>
      </c>
    </row>
    <row r="40">
      <c r="A40" t="inlineStr">
        <is>
          <t>MAT-Q-12</t>
        </is>
      </c>
      <c r="B40" t="inlineStr">
        <is>
          <t>Emballages écoconçu</t>
        </is>
      </c>
      <c r="C40" t="inlineStr">
        <is>
          <t>Nature des emballages utilisés pour la fourniture des produits objets du marché : recyclés, recyclables, mono-matériaux,¶¶...</t>
        </is>
      </c>
      <c r="D40" t="inlineStr"/>
      <c r="E40" t="inlineStr"/>
      <c r="F40" t="inlineStr">
        <is>
          <t>Comment optimisez-vous vos emballages pour réduire les déchets et le vide sanitaire ?</t>
        </is>
      </c>
      <c r="G40" t="inlineStr">
        <is>
          <t>0% plastique à usage unique. Emballages 50% recyclés et 100% recyclables (mono-matériau).</t>
        </is>
      </c>
      <c r="H40" t="inlineStr">
        <is>
          <t>Volume de vide &lt; 20%. Emballages 100% issus de fibres recyclées et encres végétales.</t>
        </is>
      </c>
      <c r="I40" t="inlineStr">
        <is>
          <t>Matériels</t>
        </is>
      </c>
      <c r="J40" t="inlineStr">
        <is>
          <t>- Transverse -</t>
        </is>
      </c>
      <c r="K40" t="inlineStr">
        <is>
          <t>RFI/RFP</t>
        </is>
      </c>
      <c r="L40" t="inlineStr">
        <is>
          <t>2.1</t>
        </is>
      </c>
      <c r="M40" t="n">
        <v>16</v>
      </c>
    </row>
    <row r="41">
      <c r="A41" t="inlineStr">
        <is>
          <t>MAT-Q-13</t>
        </is>
      </c>
      <c r="B41" t="inlineStr">
        <is>
          <t>Conformité Santé (RoHS/REACH)</t>
        </is>
      </c>
      <c r="C41" t="inlineStr">
        <is>
          <t>En 2026, la simple conformité réglementaire est le "niveau zéro". Pour être réellement écoresponsable, il faut viser l'absence totale de certaines substances et la transparence sur la chaîne d'approvisionnement.</t>
        </is>
      </c>
      <c r="D41" t="inlineStr"/>
      <c r="E41" t="inlineStr"/>
      <c r="F41" t="inlineStr">
        <is>
          <t>• Pouvez-vous fournir un certificat de conformité RoHS-2 (ou RoHS-3 si applicable) pour chaque modèle de matériel proposé ?¶• Fournissez-vous une déclaration de transparence sur la présence de substances extrêmement préoccupantes (SVHC) conformément au règlement REACH ?</t>
        </is>
      </c>
      <c r="G41" t="inlineStr">
        <is>
          <t>• Certification de conformité RoHS-2 pour 100% du matériel livré.¶• Déclaration de présence/absence d'halogènes.¶• Engagement écrit du fabricant.</t>
        </is>
      </c>
      <c r="H41" t="inlineStr">
        <is>
          <t>• RoHS-3 anticipé et absence de dérogation sur les substances critiques.¶• Certification "Halogen-Free" complète sur les câbles et circuits imprimés.¶• Accès à un Passeport Numérique de Produit (DPP) détaillant la composition chimique exacte.</t>
        </is>
      </c>
      <c r="I41" t="inlineStr">
        <is>
          <t>Matériels</t>
        </is>
      </c>
      <c r="J41" t="inlineStr">
        <is>
          <t>- Transverse -</t>
        </is>
      </c>
      <c r="K41" t="inlineStr">
        <is>
          <t>RFI/RFP</t>
        </is>
      </c>
      <c r="L41" t="inlineStr">
        <is>
          <t>2.1</t>
        </is>
      </c>
      <c r="M41" t="n">
        <v>17</v>
      </c>
    </row>
    <row r="42">
      <c r="A42" t="inlineStr">
        <is>
          <t>MAT-Q-14</t>
        </is>
      </c>
      <c r="B42" t="inlineStr">
        <is>
          <t>Santé (Ondes/DAS)</t>
        </is>
      </c>
      <c r="C42" t="inlineStr">
        <is>
          <t>Débit d’Absorption Spécifique (DAS), l'idée est de ne pas se contenter du respect de la loi (qui est un prérequis), mais d'imposer une recherche de minimisation de l'exposition des collaborateurs aux ondes électromagnétiques</t>
        </is>
      </c>
      <c r="D42" t="inlineStr"/>
      <c r="E42" t="inlineStr"/>
      <c r="F42" t="inlineStr">
        <is>
          <t>• Pouvez-vous fournir un tableau récapitulatif des indices DAS (Tête, Tronc, Membres) pour 100% des terminaux mobiles de votre catalogue ?¶• Quelle est la valeur maximale du DAS "Tête" parmi les modèles que vous préconisez pour nos collaborateurs ?¶• Disposez-vous d'un label tiers (type TCO Certified) garantissant que les tests de rayonnement ont été réalisés selon des protocoles plus stricts que la norme minimale ?¶• Proposez-vous systématiquement des accessoires permettant de limiter l'exposition (ex: kits piétons filaires de haute qualité) ?</t>
        </is>
      </c>
      <c r="G42" t="inlineStr">
        <is>
          <t>• DAS Tête ≤ 1 W/kg.¶• Affichage du DAS sur les fiches « produit ».¶• Autodéclaration de conformité CE.</t>
        </is>
      </c>
      <c r="H42" t="inlineStr">
        <is>
          <t>• DAS Tête ≤ 0,6 W/kg (Excellence santé).¶• Fourniture d'un guide de sensibilisation aux écogestes (usage du kit main libre, zones de réception).¶• Certification par un laboratoire indépendant et marquage TCO Certified Generation 9 ou supérieure, ou équivalent.</t>
        </is>
      </c>
      <c r="I42" t="inlineStr">
        <is>
          <t>Matériels</t>
        </is>
      </c>
      <c r="J42" t="inlineStr">
        <is>
          <t>Bureautiques</t>
        </is>
      </c>
      <c r="K42" t="inlineStr">
        <is>
          <t>RFI/RFP</t>
        </is>
      </c>
      <c r="L42" t="inlineStr">
        <is>
          <t>2.1</t>
        </is>
      </c>
      <c r="M42" t="n">
        <v>17</v>
      </c>
    </row>
    <row r="43">
      <c r="A43" t="inlineStr">
        <is>
          <t>MAT-Q-15</t>
        </is>
      </c>
      <c r="B43" t="inlineStr">
        <is>
          <t>Inclusion (Logiciel)</t>
        </is>
      </c>
      <c r="C43" t="inlineStr">
        <is>
          <t>Compatibilité terminaux anciens</t>
        </is>
      </c>
      <c r="D43" t="inlineStr"/>
      <c r="E43" t="inlineStr"/>
      <c r="F43" t="inlineStr">
        <is>
          <t>Quelle est la durée de compatibilité ascendante pour garantir l'usage sur des terminaux anciens ?</t>
        </is>
      </c>
      <c r="G43" t="inlineStr">
        <is>
          <t>• Garantie de mises à jour de sécurité sur 5 ans.</t>
        </is>
      </c>
      <c r="H43" t="inlineStr">
        <is>
          <t>• Support logiciel étendu permettant l'usage fluide sur des OS de plus de 6 ans.</t>
        </is>
      </c>
      <c r="I43" t="inlineStr">
        <is>
          <t>Matériels</t>
        </is>
      </c>
      <c r="J43" t="inlineStr">
        <is>
          <t>- Transverse -</t>
        </is>
      </c>
      <c r="K43" t="inlineStr">
        <is>
          <t>RFI/RFP</t>
        </is>
      </c>
      <c r="L43" t="inlineStr">
        <is>
          <t>2.1</t>
        </is>
      </c>
      <c r="M43" t="n">
        <v>17</v>
      </c>
    </row>
    <row r="44">
      <c r="A44" t="inlineStr">
        <is>
          <t>MAT-Q-16</t>
        </is>
      </c>
      <c r="B44" t="inlineStr">
        <is>
          <t>Accessibilité (imprimantes multifonctions)</t>
        </is>
      </c>
      <c r="C44" t="inlineStr">
        <is>
          <t>Écran de l’imprimante multifonction (hauteur, clavier en braille. ?)</t>
        </is>
      </c>
      <c r="D44" t="inlineStr"/>
      <c r="E44" t="inlineStr"/>
      <c r="F44" t="inlineStr">
        <is>
          <t>Les interfaces physiques (imprimantes et imprimantes multifonctions) sont-elles adaptées à tous les usagers ?</t>
        </is>
      </c>
      <c r="G44" t="inlineStr">
        <is>
          <t>• Conformité aux normes PMR (hauteur écran) et touches physiques identifiables.</t>
        </is>
      </c>
      <c r="H44" t="inlineStr">
        <is>
          <t>• Interface vocale, clavier en braille et écran inclinable à 180°.</t>
        </is>
      </c>
      <c r="I44" t="inlineStr">
        <is>
          <t>Matériels</t>
        </is>
      </c>
      <c r="J44" t="inlineStr">
        <is>
          <t>Bureautiques</t>
        </is>
      </c>
      <c r="K44" t="inlineStr">
        <is>
          <t>RFI/RFP</t>
        </is>
      </c>
      <c r="L44" t="inlineStr">
        <is>
          <t>2.1</t>
        </is>
      </c>
      <c r="M44" t="n">
        <v>17</v>
      </c>
    </row>
    <row r="45">
      <c r="A45" t="inlineStr">
        <is>
          <t>MAT-Q-17</t>
        </is>
      </c>
      <c r="B45" t="inlineStr">
        <is>
          <t>Impact Social (ESS)</t>
        </is>
      </c>
      <c r="C45" t="inlineStr">
        <is>
          <t>En cas de location d’équipements</t>
        </is>
      </c>
      <c r="D45" t="inlineStr"/>
      <c r="E45" t="inlineStr"/>
      <c r="F45" t="inlineStr">
        <is>
          <t>Quel est votre recours aux structures de l'insertion ou du handicap (EA/ESAT) pour la gestion du parc ?</t>
        </is>
      </c>
      <c r="G45" t="inlineStr">
        <is>
          <t>• Politique d'inclusion formalisée et preuve d'existence de partenariats.</t>
        </is>
      </c>
      <c r="H45" t="inlineStr">
        <is>
          <t>• &gt; 10% du montant du contrat confié à des structures de l'ESS ou de l'insertion.</t>
        </is>
      </c>
      <c r="I45" t="inlineStr">
        <is>
          <t>Matériels</t>
        </is>
      </c>
      <c r="J45" t="inlineStr">
        <is>
          <t>- Transverse -</t>
        </is>
      </c>
      <c r="K45" t="inlineStr">
        <is>
          <t>RFI/RFP</t>
        </is>
      </c>
      <c r="L45" t="inlineStr">
        <is>
          <t>2.1</t>
        </is>
      </c>
      <c r="M45" t="n">
        <v>17</v>
      </c>
    </row>
    <row r="46">
      <c r="A46" t="inlineStr">
        <is>
          <t>MAT-E-01</t>
        </is>
      </c>
      <c r="B46" t="inlineStr">
        <is>
          <t>Écoconception &amp; Labels</t>
        </is>
      </c>
      <c r="C46" t="inlineStr"/>
      <c r="D46" t="inlineStr">
        <is>
          <t>« Le Titulaire s'engage à fournir des équipements disposant d'un écolabel de type I (EPEAT, TCO, Blue Angel ou équivalent) attestant de la réduction des impacts environnementaux sur l'ensemble du cycle de vie. »</t>
        </is>
      </c>
      <c r="E46" t="inlineStr">
        <is>
          <t>Mise à disposition de la certification des matériels via une attestation / rapport pendant toute la durée de vie du marché</t>
        </is>
      </c>
      <c r="F46" t="inlineStr"/>
      <c r="G46" t="inlineStr">
        <is>
          <t>Certificats officiels en cours de validité</t>
        </is>
      </c>
      <c r="H46" t="inlineStr">
        <is>
          <t>Niveau "Gold" ou "Excellent" pour 100 % du catalogue.</t>
        </is>
      </c>
      <c r="I46" t="inlineStr">
        <is>
          <t>Matériels</t>
        </is>
      </c>
      <c r="J46" t="inlineStr">
        <is>
          <t>Bureautiques</t>
        </is>
      </c>
      <c r="K46" t="inlineStr">
        <is>
          <t>CCAP &amp; CCTP</t>
        </is>
      </c>
      <c r="L46" t="inlineStr">
        <is>
          <t>2.2</t>
        </is>
      </c>
      <c r="M46" t="n">
        <v>18</v>
      </c>
    </row>
    <row r="47">
      <c r="A47" t="inlineStr">
        <is>
          <t>MAT-E-02</t>
        </is>
      </c>
      <c r="B47" t="inlineStr">
        <is>
          <t>Bilan Carbone (ACV)</t>
        </is>
      </c>
      <c r="C47" t="inlineStr"/>
      <c r="D47" t="inlineStr">
        <is>
          <t>« Le Titulaire doit fournir, pour chaque gamme de matériel proposée, une Analyse de Cycle de Vie (ACV) complète détaillant l'impact carbone (en CO2e) de la phase de fabrication. »</t>
        </is>
      </c>
      <c r="E47" t="inlineStr">
        <is>
          <t>Fourniture de l’attestation / rapport pendant toute la durée de vie du marché</t>
        </is>
      </c>
      <c r="F47" t="inlineStr"/>
      <c r="G47" t="inlineStr">
        <is>
          <t>Rapport ACV conforme aux normes ISO 14040/14044.</t>
        </is>
      </c>
      <c r="H47" t="inlineStr">
        <is>
          <t>Mise à disposition des données via un fichier structuré (JSON/CSV) pour l'outil de pilotage de l'acheteur.</t>
        </is>
      </c>
      <c r="I47" t="inlineStr">
        <is>
          <t>Matériels</t>
        </is>
      </c>
      <c r="J47" t="inlineStr">
        <is>
          <t>- Transverse -</t>
        </is>
      </c>
      <c r="K47" t="inlineStr">
        <is>
          <t>CCAP &amp; CCTP</t>
        </is>
      </c>
      <c r="L47" t="inlineStr">
        <is>
          <t>2.2</t>
        </is>
      </c>
      <c r="M47" t="n">
        <v>18</v>
      </c>
    </row>
    <row r="48">
      <c r="A48" t="inlineStr">
        <is>
          <t>MAT-E-03</t>
        </is>
      </c>
      <c r="B48" t="inlineStr">
        <is>
          <t>Performance Énergétique</t>
        </is>
      </c>
      <c r="C48" t="inlineStr"/>
      <c r="D48" t="inlineStr">
        <is>
          <t>« Les équipements fournis doivent minimiser leur consommation électrique en usage. Les serveurs doivent impérativement respecter les classes de température ASHRAE. »</t>
        </is>
      </c>
      <c r="E48" t="inlineStr">
        <is>
          <t>Fourniture de l’attestation / rapport pendant toute la durée de vie du marché</t>
        </is>
      </c>
      <c r="F48" t="inlineStr"/>
      <c r="G48" t="inlineStr">
        <is>
          <t>Fiches techniques attestant de la certification Energy Star ou équivalent et de la classe ASHRAE A3.</t>
        </is>
      </c>
      <c r="H48" t="inlineStr">
        <is>
          <t>Certification ASHRAE A4 et rapport de mesure de consommation en charge réelle.</t>
        </is>
      </c>
      <c r="I48" t="inlineStr">
        <is>
          <t>Matériels</t>
        </is>
      </c>
      <c r="J48" t="inlineStr">
        <is>
          <t>Data centers</t>
        </is>
      </c>
      <c r="K48" t="inlineStr">
        <is>
          <t>CCAP &amp; CCTP</t>
        </is>
      </c>
      <c r="L48" t="inlineStr">
        <is>
          <t>2.2</t>
        </is>
      </c>
      <c r="M48" t="n">
        <v>18</v>
      </c>
    </row>
    <row r="49">
      <c r="A49" t="inlineStr">
        <is>
          <t>MAT-E-04</t>
        </is>
      </c>
      <c r="B49" t="inlineStr">
        <is>
          <t>Indice de Réparabilité</t>
        </is>
      </c>
      <c r="C49" t="inlineStr"/>
      <c r="D49" t="inlineStr">
        <is>
          <t>« Le Titulaire garantit la durabilité des produits via un indice de réparabilité élevé et l'engagement de fourniture de pièces détachées sur la durée du marché. »</t>
        </is>
      </c>
      <c r="E49" t="inlineStr">
        <is>
          <t>Fourniture de la certification (ré)évaluée depuis moins de 12 mois (durée modifiable selon les marchés)</t>
        </is>
      </c>
      <c r="F49" t="inlineStr"/>
      <c r="G49" t="inlineStr">
        <is>
          <t>Note de l’indice de réparabilité officielle &gt; 6/10.</t>
        </is>
      </c>
      <c r="H49" t="inlineStr">
        <is>
          <t>Note &gt; 8/10 et engagement écrit de disponibilité des pièces sur 7 ans.</t>
        </is>
      </c>
      <c r="I49" t="inlineStr">
        <is>
          <t>Matériels</t>
        </is>
      </c>
      <c r="J49" t="inlineStr">
        <is>
          <t>Bureautiques</t>
        </is>
      </c>
      <c r="K49" t="inlineStr">
        <is>
          <t>CCAP &amp; CCTP</t>
        </is>
      </c>
      <c r="L49" t="inlineStr">
        <is>
          <t>2.2</t>
        </is>
      </c>
      <c r="M49" t="n">
        <v>18</v>
      </c>
    </row>
    <row r="50">
      <c r="A50" t="inlineStr">
        <is>
          <t>MAT-E-05</t>
        </is>
      </c>
      <c r="B50" t="inlineStr">
        <is>
          <t>Fin de vie &amp; Réemploi</t>
        </is>
      </c>
      <c r="C50" t="inlineStr"/>
      <c r="D50" t="inlineStr">
        <is>
          <t>• « Le Titulaire doit mettre en place un processus de reprise du matériel en fin de contrat favorisant le réemploi et l'économie circulaire locale. »</t>
        </is>
      </c>
      <c r="E50" t="inlineStr">
        <is>
          <t>Rapport de traçabilité annuel certifiant le taux de réemploi et l'effacement sécurisé des données pour le Niveau 1, couplé à une convention de partenariat ESS et un bilan d'impact social (heures d'insertion) pour le Niveau 2.</t>
        </is>
      </c>
      <c r="F50" t="inlineStr"/>
      <c r="G50" t="inlineStr">
        <is>
          <t>Description du processus de reprise et engagement de 80 % minimum de réemploi.</t>
        </is>
      </c>
      <c r="H50" t="inlineStr">
        <is>
          <t>Attestation de partenariat avec une Entreprise Adaptée (EA) ou de l'ESS pour le reconditionnement.</t>
        </is>
      </c>
      <c r="I50" t="inlineStr">
        <is>
          <t>Matériels</t>
        </is>
      </c>
      <c r="J50" t="inlineStr">
        <is>
          <t>- Transverse -</t>
        </is>
      </c>
      <c r="K50" t="inlineStr">
        <is>
          <t>CCAP &amp; CCTP</t>
        </is>
      </c>
      <c r="L50" t="inlineStr">
        <is>
          <t>2.2</t>
        </is>
      </c>
      <c r="M50" t="n">
        <v>18</v>
      </c>
    </row>
    <row r="51">
      <c r="A51" t="inlineStr">
        <is>
          <t>MAT-E-06</t>
        </is>
      </c>
      <c r="B51" t="inlineStr">
        <is>
          <t>Substances Dangereuses (REACH/RoHS)</t>
        </is>
      </c>
      <c r="C51" t="inlineStr"/>
      <c r="D51" t="inlineStr">
        <is>
          <t>« Le Titulaire garantit que 100 % des équipements fournis sont exempts de substances nocives, conformément aux réglementations REACH et RoHS, afin de protéger la santé des utilisateurs et l'environnement. »</t>
        </is>
      </c>
      <c r="E51" t="inlineStr">
        <is>
          <t>Certificats officiels de conformité RoHS/REACH (Niveau 1) et rapports de composition "Halogen-Free" (Niveau 2).</t>
        </is>
      </c>
      <c r="F51" t="inlineStr"/>
      <c r="G51" t="inlineStr">
        <is>
          <t>Certificats RoHS niveau 2 a minima et attestation de conformité REACH pour chaque matériel.</t>
        </is>
      </c>
      <c r="H51" t="inlineStr">
        <is>
          <t>Certification "Zero Halogen" et absence totale de PVC/Retardateurs de flamme bromés.</t>
        </is>
      </c>
      <c r="I51" t="inlineStr">
        <is>
          <t>Matériels</t>
        </is>
      </c>
      <c r="J51" t="inlineStr">
        <is>
          <t>- Transverse -</t>
        </is>
      </c>
      <c r="K51" t="inlineStr">
        <is>
          <t>CCAP &amp; CCTP</t>
        </is>
      </c>
      <c r="L51" t="inlineStr">
        <is>
          <t>2.2</t>
        </is>
      </c>
      <c r="M51" t="n">
        <v>18</v>
      </c>
    </row>
    <row r="52">
      <c r="A52" t="inlineStr">
        <is>
          <t>MAT-E-07</t>
        </is>
      </c>
      <c r="B52" t="inlineStr">
        <is>
          <t>Seconde vie (Réemploi)</t>
        </is>
      </c>
      <c r="C52" t="inlineStr"/>
      <c r="D52" t="inlineStr">
        <is>
          <t>« Le Titulaire s'engage activement dans l'économie circulaire en garantissant la traçabilité et le reconditionnement systématique du matériel restitué en fin de contrat ou de location. »</t>
        </is>
      </c>
      <c r="E52" t="inlineStr">
        <is>
          <t>Rapport annuel de traçabilité (réemploi/effacement/recyclage) et convention de partenariat ESS avec bilan d'impact social (Niveau 2).</t>
        </is>
      </c>
      <c r="F52" t="inlineStr"/>
      <c r="G52" t="inlineStr">
        <is>
          <t>Note méthodologique sur le processus de reprise + Rapport de traçabilité annuel (cible 80 % minimum de réemploi).</t>
        </is>
      </c>
      <c r="H52" t="inlineStr">
        <is>
          <t>Convention de partenariat avec l'ESS/EA + Bilan d'impact social (heures d'insertion générées).</t>
        </is>
      </c>
      <c r="I52" t="inlineStr">
        <is>
          <t>Matériels</t>
        </is>
      </c>
      <c r="J52" t="inlineStr">
        <is>
          <t>- Transverse -</t>
        </is>
      </c>
      <c r="K52" t="inlineStr">
        <is>
          <t>CCAP &amp; CCTP</t>
        </is>
      </c>
      <c r="L52" t="inlineStr">
        <is>
          <t>2.2</t>
        </is>
      </c>
      <c r="M52" t="n">
        <v>19</v>
      </c>
    </row>
    <row r="53">
      <c r="A53" t="inlineStr">
        <is>
          <t>CLD-Q-01</t>
        </is>
      </c>
      <c r="B53" t="inlineStr">
        <is>
          <t>PUE</t>
        </is>
      </c>
      <c r="C53" t="inlineStr"/>
      <c r="D53" t="inlineStr">
        <is>
          <t>L'efficience du refroidissement et de l'alimentation (Cible : se rapprocher de 1).</t>
        </is>
      </c>
      <c r="E53" t="inlineStr"/>
      <c r="F53" t="inlineStr">
        <is>
          <t>Quel est le PUE moyen de vos centres de données sur les 12 derniers mois ? Quelle est la méthodologie de calcul (ISO/IEC 30134-2) ?</t>
        </is>
      </c>
      <c r="G53" t="inlineStr">
        <is>
          <t>PUE &lt; 1,4 (ou justification si Tier III/IV).</t>
        </is>
      </c>
      <c r="H53" t="inlineStr">
        <is>
          <t>PUE &lt; 1,2 (climat frais) ou &lt; 1,3 (climat chaud). Engagement de réduction annuelle.</t>
        </is>
      </c>
      <c r="I53" t="inlineStr">
        <is>
          <t>Services cloud</t>
        </is>
      </c>
      <c r="J53" t="inlineStr"/>
      <c r="K53" t="inlineStr">
        <is>
          <t>RFI/RFP</t>
        </is>
      </c>
      <c r="L53" t="inlineStr">
        <is>
          <t>3.2</t>
        </is>
      </c>
      <c r="M53" t="n">
        <v>20</v>
      </c>
    </row>
    <row r="54">
      <c r="A54" t="inlineStr">
        <is>
          <t>CLD-Q-02</t>
        </is>
      </c>
      <c r="B54" t="inlineStr">
        <is>
          <t>WUE</t>
        </is>
      </c>
      <c r="C54" t="inlineStr"/>
      <c r="D54" t="inlineStr">
        <is>
          <t>La consommation d'eau potable pour le refroidissement, une ressource de plus en plus critique.</t>
        </is>
      </c>
      <c r="E54" t="inlineStr"/>
      <c r="F54" t="inlineStr">
        <is>
          <t>Quels volumes d'eau sont prélevés et consommés ? Utilisez-vous des circuits fermés ou de l'eau recyclée ?</t>
        </is>
      </c>
      <c r="G54" t="inlineStr">
        <is>
          <t>Déclaration transparente du WUE et du type de source d'eau.</t>
        </is>
      </c>
      <c r="H54" t="inlineStr">
        <is>
          <t>Zéro prélèvement d'eau potable (utilisation de free cooling ou eaux grises).</t>
        </is>
      </c>
      <c r="I54" t="inlineStr">
        <is>
          <t>Services cloud</t>
        </is>
      </c>
      <c r="J54" t="inlineStr"/>
      <c r="K54" t="inlineStr">
        <is>
          <t>RFI/RFP</t>
        </is>
      </c>
      <c r="L54" t="inlineStr">
        <is>
          <t>3.2</t>
        </is>
      </c>
      <c r="M54" t="n">
        <v>20</v>
      </c>
    </row>
    <row r="55">
      <c r="A55" t="inlineStr">
        <is>
          <t>CLD-Q-03</t>
        </is>
      </c>
      <c r="B55" t="inlineStr">
        <is>
          <t>CUE</t>
        </is>
      </c>
      <c r="C55" t="inlineStr"/>
      <c r="D55" t="inlineStr">
        <is>
          <t>Le contenu CO2 de chaque kWh consommé (dépend du mix énergétique).</t>
        </is>
      </c>
      <c r="E55" t="inlineStr"/>
      <c r="F55" t="inlineStr">
        <is>
          <t>Quel est le CUE de vos centres de données ? Quelle est la part d'ENR (énergies renouvelables) en Location-based (réel local) vs Market-based ?</t>
        </is>
      </c>
      <c r="G55" t="inlineStr">
        <is>
          <t>Fourniture du bilan carbone Scopes 1, 2 et 3 lié au service acheté.</t>
        </is>
      </c>
      <c r="H55" t="inlineStr">
        <is>
          <t>100 % ENR additionnelles (investissement direct dans de nouvelles capacités de production locale).</t>
        </is>
      </c>
      <c r="I55" t="inlineStr">
        <is>
          <t>Services cloud</t>
        </is>
      </c>
      <c r="J55" t="inlineStr"/>
      <c r="K55" t="inlineStr">
        <is>
          <t>RFI/RFP</t>
        </is>
      </c>
      <c r="L55" t="inlineStr">
        <is>
          <t>3.2</t>
        </is>
      </c>
      <c r="M55" t="n">
        <v>20</v>
      </c>
    </row>
    <row r="56">
      <c r="A56" t="inlineStr">
        <is>
          <t>CLD-Q-04</t>
        </is>
      </c>
      <c r="B56" t="inlineStr">
        <is>
          <t>Transparence &amp; Souveraineté</t>
        </is>
      </c>
      <c r="C56" t="inlineStr"/>
      <c r="D56" t="inlineStr">
        <is>
          <t>La localisation physique et le cadre juridique des données.</t>
        </is>
      </c>
      <c r="E56" t="inlineStr"/>
      <c r="F56" t="inlineStr">
        <is>
          <t>Dans quels pays et régions exactes mes données sont-elles stockées et traitées ? Quel est le taux de latence pour l’accès aux données ?</t>
        </is>
      </c>
      <c r="G56" t="inlineStr">
        <is>
          <t>Liste précise des datacenters et conformité RGPD.</t>
        </is>
      </c>
      <c r="H56" t="inlineStr">
        <is>
          <t>Hébergement en Europe (ou France) pour minimiser l'impact réseau et garantir la souveraineté.</t>
        </is>
      </c>
      <c r="I56" t="inlineStr">
        <is>
          <t>Services cloud</t>
        </is>
      </c>
      <c r="J56" t="inlineStr"/>
      <c r="K56" t="inlineStr">
        <is>
          <t>RFI/RFP</t>
        </is>
      </c>
      <c r="L56" t="inlineStr">
        <is>
          <t>3.2</t>
        </is>
      </c>
      <c r="M56" t="n">
        <v>20</v>
      </c>
    </row>
    <row r="57">
      <c r="A57" t="inlineStr">
        <is>
          <t>CLD-Q-05</t>
        </is>
      </c>
      <c r="B57" t="inlineStr">
        <is>
          <t>Impact Social &amp; Économie Circulaire</t>
        </is>
      </c>
      <c r="C57" t="inlineStr"/>
      <c r="D57" t="inlineStr">
        <is>
          <t>Le recours au reconditionné et l'insertion par l'emploi (ESS).</t>
        </is>
      </c>
      <c r="E57" t="inlineStr"/>
      <c r="F57" t="inlineStr">
        <is>
          <t>Quelle est la part de matériel reconditionné dans vos infrastructures ? Travaillez-vous avec des structures de l'ESS pour la fin de vie ?</t>
        </is>
      </c>
      <c r="G57" t="inlineStr">
        <is>
          <t>Engagement de maintenance préventive pour prolonger la durée de vie des serveurs.</t>
        </is>
      </c>
      <c r="H57" t="inlineStr">
        <is>
          <t>15 % minimum de composants reconditionnés ou recours à des entreprises d'insertion pour le recyclage.</t>
        </is>
      </c>
      <c r="I57" t="inlineStr">
        <is>
          <t>Services cloud</t>
        </is>
      </c>
      <c r="J57" t="inlineStr"/>
      <c r="K57" t="inlineStr">
        <is>
          <t>RFI/RFP</t>
        </is>
      </c>
      <c r="L57" t="inlineStr">
        <is>
          <t>3.2</t>
        </is>
      </c>
      <c r="M57" t="n">
        <v>20</v>
      </c>
    </row>
    <row r="58">
      <c r="A58" t="inlineStr">
        <is>
          <t>CLD-Q-06</t>
        </is>
      </c>
      <c r="B58" t="inlineStr">
        <is>
          <t>Réversibilité</t>
        </is>
      </c>
      <c r="C58" t="inlineStr"/>
      <c r="D58" t="inlineStr">
        <is>
          <t>Éviter le "Lock-in" (dépendance) et garantir le droit à la sortie conformément au Data Act.</t>
        </is>
      </c>
      <c r="E58" t="inlineStr"/>
      <c r="F58" t="inlineStr">
        <is>
          <t>Garantissez-vous une réversibilité sans coûts prohibitifs, sous formats standards et lisibles ?</t>
        </is>
      </c>
      <c r="G58" t="inlineStr">
        <is>
          <t>Plan de réversibilité standard inclus. Préavis de résiliation de 2 mois.</t>
        </is>
      </c>
      <c r="H58" t="inlineStr">
        <is>
          <t>Réversibilité automatisée et sans frais de sortie de données (Egress fees).</t>
        </is>
      </c>
      <c r="I58" t="inlineStr">
        <is>
          <t>Services cloud</t>
        </is>
      </c>
      <c r="J58" t="inlineStr"/>
      <c r="K58" t="inlineStr">
        <is>
          <t>RFI/RFP</t>
        </is>
      </c>
      <c r="L58" t="inlineStr">
        <is>
          <t>3.2</t>
        </is>
      </c>
      <c r="M58" t="n">
        <v>20</v>
      </c>
    </row>
    <row r="59">
      <c r="A59" t="inlineStr">
        <is>
          <t>CLD-Q-07</t>
        </is>
      </c>
      <c r="B59" t="inlineStr">
        <is>
          <t>Souveraineté du Support</t>
        </is>
      </c>
      <c r="C59" t="inlineStr"/>
      <c r="D59" t="inlineStr">
        <is>
          <t>Protéger les données contre les lois extraterritoriales et favoriser l'emploi local.</t>
        </is>
      </c>
      <c r="E59" t="inlineStr"/>
      <c r="F59" t="inlineStr">
        <is>
          <t>Le support technique accède-t-il aux données depuis un pays hors UE ?</t>
        </is>
      </c>
      <c r="G59" t="inlineStr">
        <is>
          <t>Support N1/N2 situé en Union Européenne.</t>
        </is>
      </c>
      <c r="H59" t="inlineStr">
        <is>
          <t>Administration et support 100 % opérés depuis l'UE (Souveraineté totale).</t>
        </is>
      </c>
      <c r="I59" t="inlineStr">
        <is>
          <t>Services cloud</t>
        </is>
      </c>
      <c r="J59" t="inlineStr"/>
      <c r="K59" t="inlineStr">
        <is>
          <t>RFI/RFP</t>
        </is>
      </c>
      <c r="L59" t="inlineStr">
        <is>
          <t>3.2</t>
        </is>
      </c>
      <c r="M59" t="n">
        <v>21</v>
      </c>
    </row>
    <row r="60">
      <c r="A60" t="inlineStr">
        <is>
          <t>CLD-Q-08</t>
        </is>
      </c>
      <c r="B60" t="inlineStr">
        <is>
          <t>Management de Efficacité énergétique</t>
        </is>
      </c>
      <c r="C60" t="inlineStr"/>
      <c r="D60" t="inlineStr">
        <is>
          <t>ISO 50001, Code de conduite européen des datacenters ou équivalent</t>
        </is>
      </c>
      <c r="E60" t="inlineStr"/>
      <c r="F60" t="inlineStr">
        <is>
          <t>Quel(s) certifications/labels/système de management avez-vous pour optimiser l’efficacité énergétique des centres de données ?</t>
        </is>
      </c>
      <c r="G60" t="inlineStr">
        <is>
          <t>Signature du Code de conduite européen ou équivalant à préciser</t>
        </is>
      </c>
      <c r="H60" t="inlineStr">
        <is>
          <t>ISO 50001 ou équivalent</t>
        </is>
      </c>
      <c r="I60" t="inlineStr">
        <is>
          <t>Services cloud</t>
        </is>
      </c>
      <c r="J60" t="inlineStr"/>
      <c r="K60" t="inlineStr">
        <is>
          <t>RFI/RFP</t>
        </is>
      </c>
      <c r="L60" t="inlineStr">
        <is>
          <t>3.2</t>
        </is>
      </c>
      <c r="M60" t="n">
        <v>21</v>
      </c>
    </row>
    <row r="61">
      <c r="A61" t="inlineStr">
        <is>
          <t>CLD-Q-09</t>
        </is>
      </c>
      <c r="B61" t="inlineStr">
        <is>
          <t>Gestion du cycle de vie</t>
        </is>
      </c>
      <c r="C61" t="inlineStr"/>
      <c r="D61" t="inlineStr"/>
      <c r="E61" t="inlineStr"/>
      <c r="F61" t="inlineStr">
        <is>
          <t>• Quelle politique en matière d'approvisionnement, de durée de vie moyenne, de recyclage et de remise à neuf du matériel informatique intégré dans leurs centres de données et équipements informatiques (serveurs et équipements réseau) ainsi que sur leurs pratiques liées à l'économie circulaire.¶• Quelle est la durée de vie moyenne de vos équipements ?</t>
        </is>
      </c>
      <c r="G61" t="inlineStr">
        <is>
          <t>Politique formalisée. Les fournisseurs de services Cloud s'engagent à promouvoir la réutilisation, la réparation ou le recyclage à 100% de leur équipement et serveurs usagés.</t>
        </is>
      </c>
      <c r="H61" t="inlineStr">
        <is>
          <t>Durée de vie des équipements : 7 ans pour les serveurs.¶¶Durées de vie minimales pour les équipements d’infrastructure : 20 ans pour les transformateurs et 15 ans pour les groupes froids.</t>
        </is>
      </c>
      <c r="I61" t="inlineStr">
        <is>
          <t>Services cloud</t>
        </is>
      </c>
      <c r="J61" t="inlineStr"/>
      <c r="K61" t="inlineStr">
        <is>
          <t>RFI/RFP</t>
        </is>
      </c>
      <c r="L61" t="inlineStr">
        <is>
          <t>3.2</t>
        </is>
      </c>
      <c r="M61" t="n">
        <v>21</v>
      </c>
    </row>
    <row r="62">
      <c r="A62" t="inlineStr">
        <is>
          <t>CLD-Q-10</t>
        </is>
      </c>
      <c r="B62" t="inlineStr">
        <is>
          <t>Progrès et Innovation</t>
        </is>
      </c>
      <c r="C62" t="inlineStr"/>
      <c r="D62" t="inlineStr">
        <is>
          <t>Récupération chaleur fatale, autoconsommation, monitoring etc…</t>
        </is>
      </c>
      <c r="E62" t="inlineStr"/>
      <c r="F62" t="inlineStr">
        <is>
          <t>Quelles sont les actions de progrès et innovations que vous mettez en œuvre pour minimiser l’impact environnemental ?</t>
        </is>
      </c>
      <c r="G62" t="inlineStr">
        <is>
          <t>Plan d’action</t>
        </is>
      </c>
      <c r="H62" t="inlineStr">
        <is>
          <t>Plan d’action opposables</t>
        </is>
      </c>
      <c r="I62" t="inlineStr">
        <is>
          <t>Services cloud</t>
        </is>
      </c>
      <c r="J62" t="inlineStr"/>
      <c r="K62" t="inlineStr">
        <is>
          <t>RFI/RFP</t>
        </is>
      </c>
      <c r="L62" t="inlineStr">
        <is>
          <t>3.2</t>
        </is>
      </c>
      <c r="M62" t="n">
        <v>21</v>
      </c>
    </row>
    <row r="63">
      <c r="A63" t="inlineStr">
        <is>
          <t>CLD-Q-11</t>
        </is>
      </c>
      <c r="B63" t="inlineStr">
        <is>
          <t>Écoconception</t>
        </is>
      </c>
      <c r="C63" t="inlineStr"/>
      <c r="D63" t="inlineStr">
        <is>
          <t>Nombre de règles du RGESN ou autre référentiel international</t>
        </is>
      </c>
      <c r="E63" t="inlineStr"/>
      <c r="F63" t="inlineStr">
        <is>
          <t>Le Titulaire s’engage à concevoir, développer et exploiter les services numériques faisant l’objet du Marché en application des principes de sobriété numérique.¶¶Cet engagement repose sur :¶¶• Le respect des référentiels : L'application prioritaire du RGESN (Référentiel Général d’Écoconception de Services Numériques) ou, à défaut, du GR491*.*¶• La pérennité de la démarche : Pour les services managés, le Titulaire doit démontrer que les choix d'écoconception sont maintenus et optimisés tout au long de la phase d'exploitation (maintenance corrective et évolutive).</t>
        </is>
      </c>
      <c r="G63" t="inlineStr">
        <is>
          <t>• Application stricte des 78 critères prioritaires du RGESN¶• Mise en place de tests de performance automatisés pour éviter les régressions de poids des pages/requêtes.</t>
        </is>
      </c>
      <c r="H63" t="inlineStr">
        <is>
          <t>• Application de l'intégralité des critères du RGESN (v2) avec un taux de conformité &gt; 85%.¶• Monitoring en temps réel de la consommation énergétique des serveurs et Analyse de Cycle de Vie (ACV) simplifiée du service.¶• Application de l'AFNOR SPEC IA Frugale pour tout algorithme d'IA intégré</t>
        </is>
      </c>
      <c r="I63" t="inlineStr">
        <is>
          <t>Services cloud</t>
        </is>
      </c>
      <c r="J63" t="inlineStr"/>
      <c r="K63" t="inlineStr">
        <is>
          <t>RFI/RFP</t>
        </is>
      </c>
      <c r="L63" t="inlineStr">
        <is>
          <t>3.2</t>
        </is>
      </c>
      <c r="M63" t="n">
        <v>21</v>
      </c>
    </row>
    <row r="64">
      <c r="A64" t="inlineStr">
        <is>
          <t>CLD-Q-12</t>
        </is>
      </c>
      <c r="B64" t="inlineStr">
        <is>
          <t>Cycle de Vie des Données</t>
        </is>
      </c>
      <c r="C64" t="inlineStr"/>
      <c r="D64" t="inlineStr">
        <is>
          <t>• Définir une date de fin de vie des données¶• Fournir des outils pour minimiser les volumes de données</t>
        </is>
      </c>
      <c r="E64" t="inlineStr"/>
      <c r="F64" t="inlineStr">
        <is>
          <t>Le Titulaire s’engage à intégrer les principes de sobriété des données dès la phase de conception de la SOLUTION.¶¶• Cycle de vie : Le Titulaire doit définir, pour chaque catégorie de données traitées, une durée de conservation limitée et un mécanisme de purge automatique ou de d'archivage compressé en fin de vie.¶• Optimisation des volumes : Le Titulaire met à disposition du Client des fonctionnalités et des outils d'administration permettant de monitorer et de réduire activement les volumes de données stockées (déduplication, compression, suppression assistée).</t>
        </is>
      </c>
      <c r="G64" t="inlineStr">
        <is>
          <t>• Paramétrage manuel ou automatique de dates de péremption par dossier ou type de fichier.¶• Utilisation de formats de fichiers compressés et algorithmes de déduplication standards¶• Fourniture d'un indicateur global de volume stocké.¶¶Limitation du nombre de versions sauvegardées (versioning raisonné).</t>
        </is>
      </c>
      <c r="H64" t="inlineStr">
        <is>
          <t>• Purge automatique intelligente avec alertes préalables et rapport de gain de stockage associé.¶• Déduplication à la source et optimisation dynamique des bases de données (sharding, indexing écoconçu).¶• Analyse trimestrielle des données "mortes" et recommandations de nettoyage.</t>
        </is>
      </c>
      <c r="I64" t="inlineStr">
        <is>
          <t>Services cloud</t>
        </is>
      </c>
      <c r="J64" t="inlineStr"/>
      <c r="K64" t="inlineStr">
        <is>
          <t>RFI/RFP</t>
        </is>
      </c>
      <c r="L64" t="inlineStr">
        <is>
          <t>3.2</t>
        </is>
      </c>
      <c r="M64" t="n">
        <v>21</v>
      </c>
    </row>
    <row r="65">
      <c r="A65" t="inlineStr">
        <is>
          <t>CLD-Q-13</t>
        </is>
      </c>
      <c r="B65" t="inlineStr">
        <is>
          <t>Transparence</t>
        </is>
      </c>
      <c r="C65" t="inlineStr"/>
      <c r="D65" t="inlineStr">
        <is>
          <t>Permettre aux utilisateurs et administrateurs d’utiliser les services « en conséquence » de l’impact environnemental généré et du coup de pouvoir décider du non-usage</t>
        </is>
      </c>
      <c r="E65" t="inlineStr"/>
      <c r="F65" t="inlineStr">
        <is>
          <t>Transparence de l’impact et aide à l’arbitrage : Le Titulaire s’engage à fournir au Client et à ses utilisateurs les informations nécessaires pour une utilisation sobre et éclairée du service.¶¶• Pour les Administrateurs : Le Titulaire met à disposition un tableau de bord consolidé mesurant la consommation électrique et l’empreinte carbone (approche location-based) générées par l’usage de la SOLUTION.¶• Pour les Utilisateurs : La SOLUTION doit intégrer des dispositifs d’information ou de "Nudge" (incitations douces) permettant de visualiser l’impact environnemental d’une action spécifique, afin de favoriser le non-usage ou l’usage différé des fonctionnalités les plus énergivores.</t>
        </is>
      </c>
      <c r="G65" t="inlineStr">
        <is>
          <t>• Reporting annuel des consommations électriques et émissions de GES liées au contrat.¶• Information statique (ex: page "Charte écogestes") accessible dans l'aide ou le footer.</t>
        </is>
      </c>
      <c r="H65" t="inlineStr">
        <is>
          <t>• Tableau de bord en temps réel avec historique et export de données pour le bilan carbone (RSE) de l'entreprise.¶• Affichage de l'impact estimé avant une action lourde (ex: "L'envoi de cette pièce jointe génère X g de CO2")¶• Transparence totale sur le mix énergétique des datacenters et distinction Location-based vs Market-based.</t>
        </is>
      </c>
      <c r="I65" t="inlineStr">
        <is>
          <t>Services cloud</t>
        </is>
      </c>
      <c r="J65" t="inlineStr"/>
      <c r="K65" t="inlineStr">
        <is>
          <t>RFI/RFP</t>
        </is>
      </c>
      <c r="L65" t="inlineStr">
        <is>
          <t>3.2</t>
        </is>
      </c>
      <c r="M65" t="n">
        <v>22</v>
      </c>
    </row>
    <row r="66">
      <c r="A66" t="inlineStr">
        <is>
          <t>CLD-Q-14</t>
        </is>
      </c>
      <c r="B66" t="inlineStr">
        <is>
          <t>Accessibilité</t>
        </is>
      </c>
      <c r="C66" t="inlineStr"/>
      <c r="D66" t="inlineStr">
        <is>
          <t>• Applicable seulement aux services ou logiciels en SAAS disposant d’interfaces utilisateurs¶• Si l’entreprise du titulaire est basée en France, on fera référence au RGAA qui est la norme nationale. Si l’entreprise du titulaire n’est pas en France on fera référence à la norme internationale WCAG</t>
        </is>
      </c>
      <c r="E66" t="inlineStr"/>
      <c r="F66" t="inlineStr">
        <is>
          <t>Pouvez-vous démontrer la conformité du service numérique aux obligations d’accessibilité numérique en vigueur (déclaration d’accessibilité, niveau de conformité, référentiel applicable et schéma pluriannuel) ?</t>
        </is>
      </c>
      <c r="G66" t="inlineStr">
        <is>
          <t>• Preuve du respect des obligations de déclaration légale</t>
        </is>
      </c>
      <c r="H66" t="inlineStr">
        <is>
          <t>Conformité totale au WCAG AA (à l’international) ou RGAA (en France)</t>
        </is>
      </c>
      <c r="I66" t="inlineStr">
        <is>
          <t>Services cloud</t>
        </is>
      </c>
      <c r="J66" t="inlineStr"/>
      <c r="K66" t="inlineStr">
        <is>
          <t>RFI/RFP</t>
        </is>
      </c>
      <c r="L66" t="inlineStr">
        <is>
          <t>3.2</t>
        </is>
      </c>
      <c r="M66" t="n">
        <v>22</v>
      </c>
    </row>
    <row r="67">
      <c r="A67" t="inlineStr">
        <is>
          <t>CLD-Q-15</t>
        </is>
      </c>
      <c r="B67" t="inlineStr">
        <is>
          <t>Droit à la déconnexion</t>
        </is>
      </c>
      <c r="C67" t="inlineStr"/>
      <c r="D67" t="inlineStr"/>
      <c r="E67" t="inlineStr"/>
      <c r="F67" t="inlineStr">
        <is>
          <t>Le cas échéant, la solution propose-t-elle des fonctionnalités permettant la gestion ou la désactivation des notifications, notamment en dehors des horaires de travail (paramétrage individuel et/ou collectif, plages horaires, types de notifications) ;</t>
        </is>
      </c>
      <c r="G67" t="inlineStr"/>
      <c r="H67" t="inlineStr">
        <is>
          <t>Fourniture d’une guide de paramétrage des fonctionnalités permettant le droit à la déconnexion</t>
        </is>
      </c>
      <c r="I67" t="inlineStr">
        <is>
          <t>Services cloud</t>
        </is>
      </c>
      <c r="J67" t="inlineStr"/>
      <c r="K67" t="inlineStr">
        <is>
          <t>RFI/RFP</t>
        </is>
      </c>
      <c r="L67" t="inlineStr">
        <is>
          <t>3.2</t>
        </is>
      </c>
      <c r="M67" t="n">
        <v>22</v>
      </c>
    </row>
    <row r="68">
      <c r="A68" t="inlineStr">
        <is>
          <t>CLD-E-01</t>
        </is>
      </c>
      <c r="B68" t="inlineStr">
        <is>
          <t>Dashboard de Performance Carbone</t>
        </is>
      </c>
      <c r="C68" t="inlineStr">
        <is>
          <t>Publication de la méthodologie complète et des facteurs d’émissions utilisés. Recommandations d’optimisation « Green Ops » pour réduire l'impact à l'usage.</t>
        </is>
      </c>
      <c r="D68" t="inlineStr"/>
      <c r="E68" t="inlineStr">
        <is>
          <t>Rapport d’estimation des émissions CO2e détaillé par Scopes 1, 2 (Market et Location based) et 3 (hors compensation).</t>
        </is>
      </c>
      <c r="F68" t="inlineStr"/>
      <c r="G68" t="inlineStr">
        <is>
          <t>Rapport automatisé périodique remis à l'entreprise.</t>
        </is>
      </c>
      <c r="H68" t="inlineStr">
        <is>
          <t>Dashboard dynamique en temps réel incluant des simulations d'impact des leviers « Green Ops ».</t>
        </is>
      </c>
      <c r="I68" t="inlineStr">
        <is>
          <t>Services cloud</t>
        </is>
      </c>
      <c r="J68" t="inlineStr"/>
      <c r="K68" t="inlineStr">
        <is>
          <t>CCAP &amp; CCTP</t>
        </is>
      </c>
      <c r="L68" t="inlineStr">
        <is>
          <t>3.3</t>
        </is>
      </c>
      <c r="M68" t="n">
        <v>24</v>
      </c>
    </row>
    <row r="69">
      <c r="A69" t="inlineStr">
        <is>
          <t>CLD-E-02</t>
        </is>
      </c>
      <c r="B69" t="inlineStr">
        <is>
          <t>Souveraineté et Localisation</t>
        </is>
      </c>
      <c r="C69" t="inlineStr">
        <is>
          <t>Garantie de la localisation géographique des services pour répondre aux enjeux de souveraineté et de conformité.</t>
        </is>
      </c>
      <c r="D69" t="inlineStr"/>
      <c r="E69" t="inlineStr">
        <is>
          <t>Cartographie précise de la localisation des services et des infrastructures de stockage.</t>
        </is>
      </c>
      <c r="F69" t="inlineStr"/>
      <c r="G69" t="inlineStr">
        <is>
          <t>Communication transparente sur la localisation géographique des centres de données.</t>
        </is>
      </c>
      <c r="H69" t="inlineStr">
        <is>
          <t>Choix de la localisation par l’entreprise et interface de pilotage en temps réel.</t>
        </is>
      </c>
      <c r="I69" t="inlineStr">
        <is>
          <t>Services cloud</t>
        </is>
      </c>
      <c r="J69" t="inlineStr"/>
      <c r="K69" t="inlineStr">
        <is>
          <t>CCAP &amp; CCTP</t>
        </is>
      </c>
      <c r="L69" t="inlineStr">
        <is>
          <t>3.3</t>
        </is>
      </c>
      <c r="M69" t="n">
        <v>24</v>
      </c>
    </row>
    <row r="70">
      <c r="A70" t="inlineStr">
        <is>
          <t>CLD-E-03</t>
        </is>
      </c>
      <c r="B70" t="inlineStr">
        <is>
          <t>Réversibilité et Autonomie</t>
        </is>
      </c>
      <c r="C70" t="inlineStr">
        <is>
          <t>Prévention du « Vendor Lock-in » (enfermement propriétaire) pour garantir la liberté technologique de l'entreprise.</t>
        </is>
      </c>
      <c r="D70" t="inlineStr"/>
      <c r="E70" t="inlineStr">
        <is>
          <t>Plan d’Assurance Réversibilité (PAR) exhaustif, incluant les procédures techniques et les coûts associés.</t>
        </is>
      </c>
      <c r="F70" t="inlineStr"/>
      <c r="G70" t="inlineStr">
        <is>
          <t>PAR détaillé et chiffré validé à la signature du contrat.</t>
        </is>
      </c>
      <c r="H70" t="inlineStr">
        <is>
          <t>Réalisation d'un test de réversibilité annuel couronné de succès pour valider la portabilité réelle.</t>
        </is>
      </c>
      <c r="I70" t="inlineStr">
        <is>
          <t>Services cloud</t>
        </is>
      </c>
      <c r="J70" t="inlineStr"/>
      <c r="K70" t="inlineStr">
        <is>
          <t>CCAP &amp; CCTP</t>
        </is>
      </c>
      <c r="L70" t="inlineStr">
        <is>
          <t>3.3</t>
        </is>
      </c>
      <c r="M70" t="n">
        <v>24</v>
      </c>
    </row>
    <row r="71">
      <c r="A71" t="inlineStr">
        <is>
          <t>LOG-Q-01</t>
        </is>
      </c>
      <c r="B71" t="inlineStr">
        <is>
          <t>Écoconception Logicielle</t>
        </is>
      </c>
      <c r="C71" t="inlineStr"/>
      <c r="D71" t="inlineStr"/>
      <c r="E71" t="inlineStr"/>
      <c r="F71" t="inlineStr">
        <is>
          <t>Utilisez-vous un référentiel d'écoconception (ex: RGESN) pour le développement et la mesure de votre solution ?</t>
        </is>
      </c>
      <c r="G71" t="inlineStr">
        <is>
          <t>Intégration d'un référentiel reconnu et réalisation de mesures de maturité régulières.</t>
        </is>
      </c>
      <c r="H71" t="inlineStr">
        <is>
          <t>Score d'écoconception audité par un tiers et démarche d'amélioration continue (KPIs).</t>
        </is>
      </c>
      <c r="I71" t="inlineStr">
        <is>
          <t>Logiciels</t>
        </is>
      </c>
      <c r="J71" t="inlineStr"/>
      <c r="K71" t="inlineStr">
        <is>
          <t>RFI/RFP</t>
        </is>
      </c>
      <c r="L71" t="inlineStr">
        <is>
          <t>4.1</t>
        </is>
      </c>
      <c r="M71" t="n">
        <v>25</v>
      </c>
    </row>
    <row r="72">
      <c r="A72" t="inlineStr">
        <is>
          <t>LOG-Q-02</t>
        </is>
      </c>
      <c r="B72" t="inlineStr">
        <is>
          <t>Accessibilité numérique</t>
        </is>
      </c>
      <c r="C72" t="inlineStr"/>
      <c r="D72" t="inlineStr"/>
      <c r="E72" t="inlineStr"/>
      <c r="F72" t="inlineStr">
        <is>
          <t>Pouvez-vous démontrer la conformité de votre service aux obligations légales d'accessibilité en vigueur ?</t>
        </is>
      </c>
      <c r="G72" t="inlineStr">
        <is>
          <t>Publication d'une Déclaration d'accessibilité conforme (RGAA ou WCAG 2.1 AA).</t>
        </is>
      </c>
      <c r="H72" t="inlineStr">
        <is>
          <t>Conformité totale (100%) et intégration des retours utilisateurs en situation de handicap.</t>
        </is>
      </c>
      <c r="I72" t="inlineStr">
        <is>
          <t>Logiciels</t>
        </is>
      </c>
      <c r="J72" t="inlineStr"/>
      <c r="K72" t="inlineStr">
        <is>
          <t>RFI/RFP</t>
        </is>
      </c>
      <c r="L72" t="inlineStr">
        <is>
          <t>4.1</t>
        </is>
      </c>
      <c r="M72" t="n">
        <v>25</v>
      </c>
    </row>
    <row r="73">
      <c r="A73" t="inlineStr">
        <is>
          <t>LOG-Q-03</t>
        </is>
      </c>
      <c r="B73" t="inlineStr">
        <is>
          <t>Droit à la déconnexion</t>
        </is>
      </c>
      <c r="C73" t="inlineStr"/>
      <c r="D73" t="inlineStr"/>
      <c r="E73" t="inlineStr"/>
      <c r="F73" t="inlineStr">
        <is>
          <t>La solution propose-t-elle des fonctionnalités natives pour gérer ou désactiver les notifications hors horaires de travail ?</t>
        </is>
      </c>
      <c r="G73" t="inlineStr">
        <is>
          <t>Paramétrage collectif des plages de silence des notifications par l'administrateur.</t>
        </is>
      </c>
      <c r="H73" t="inlineStr">
        <is>
          <t>Paramétrage individuel avancé et fourniture d'un guide des bonnes pratiques de déconnexion.</t>
        </is>
      </c>
      <c r="I73" t="inlineStr">
        <is>
          <t>Logiciels</t>
        </is>
      </c>
      <c r="J73" t="inlineStr"/>
      <c r="K73" t="inlineStr">
        <is>
          <t>RFI/RFP</t>
        </is>
      </c>
      <c r="L73" t="inlineStr">
        <is>
          <t>4.1</t>
        </is>
      </c>
      <c r="M73" t="n">
        <v>25</v>
      </c>
    </row>
    <row r="74">
      <c r="A74" t="inlineStr">
        <is>
          <t>LOG-Q-04</t>
        </is>
      </c>
      <c r="B74" t="inlineStr">
        <is>
          <t>Obsolescence &amp; Inclusion</t>
        </is>
      </c>
      <c r="C74" t="inlineStr"/>
      <c r="D74" t="inlineStr"/>
      <c r="E74" t="inlineStr"/>
      <c r="F74" t="inlineStr">
        <is>
          <t>Quelle est la durée de compatibilité descendante garantie pour les OS et terminaux du marché ?</t>
        </is>
      </c>
      <c r="G74" t="inlineStr">
        <is>
          <t>Support garanti sur 3 ans (mobiles) et 5 ans (PC) pour les versions d'OS majeures.</t>
        </is>
      </c>
      <c r="H74" t="inlineStr">
        <is>
          <t>Bootloader déverrouillable (permettant l'installation d'OS alternatifs légers) pour allonger la vie du matériel.</t>
        </is>
      </c>
      <c r="I74" t="inlineStr">
        <is>
          <t>Logiciels</t>
        </is>
      </c>
      <c r="J74" t="inlineStr"/>
      <c r="K74" t="inlineStr">
        <is>
          <t>RFI/RFP</t>
        </is>
      </c>
      <c r="L74" t="inlineStr">
        <is>
          <t>4.1</t>
        </is>
      </c>
      <c r="M74" t="n">
        <v>25</v>
      </c>
    </row>
    <row r="75">
      <c r="A75" t="inlineStr">
        <is>
          <t>LOG-Q-05</t>
        </is>
      </c>
      <c r="B75" t="inlineStr">
        <is>
          <t>Gestion des Mises à jour</t>
        </is>
      </c>
      <c r="C75" t="inlineStr"/>
      <c r="D75" t="inlineStr"/>
      <c r="E75" t="inlineStr"/>
      <c r="F75" t="inlineStr">
        <is>
          <t>Comment garantissez-vous que vos mises à jour évolutives n'entraînent pas une obsolescence matérielle ?</t>
        </is>
      </c>
      <c r="G75" t="inlineStr">
        <is>
          <t>Distinction claire entre maintenance curative (sécurité) et évolutive. Possibilité de refuser les évolutions lourdes.</t>
        </is>
      </c>
      <c r="H75" t="inlineStr">
        <is>
          <t>Mises à jour évolutives garanties "iso-consommation" (pas d'augmentation des besoins CPU/RAM)</t>
        </is>
      </c>
      <c r="I75" t="inlineStr">
        <is>
          <t>Logiciels</t>
        </is>
      </c>
      <c r="J75" t="inlineStr"/>
      <c r="K75" t="inlineStr">
        <is>
          <t>RFI/RFP</t>
        </is>
      </c>
      <c r="L75" t="inlineStr">
        <is>
          <t>4.1</t>
        </is>
      </c>
      <c r="M75" t="n">
        <v>25</v>
      </c>
    </row>
    <row r="76">
      <c r="A76" t="inlineStr">
        <is>
          <t>LOG-Q-06</t>
        </is>
      </c>
      <c r="B76" t="inlineStr">
        <is>
          <t>Standards Ouverts &amp; Interopérabilité</t>
        </is>
      </c>
      <c r="C76" t="inlineStr"/>
      <c r="D76" t="inlineStr"/>
      <c r="E76" t="inlineStr"/>
      <c r="F76" t="inlineStr">
        <is>
          <t>La solution repose-t-elle sur des standards ouverts pour garantir l'indépendance et l'auditabilité ?</t>
        </is>
      </c>
      <c r="G76" t="inlineStr">
        <is>
          <t>Export des données dans des formats ouverts et standards. API documentée.</t>
        </is>
      </c>
      <c r="H76" t="inlineStr">
        <is>
          <t>Code source auditable ou reposant sur des briques Open Source. Documentation technique complète.</t>
        </is>
      </c>
      <c r="I76" t="inlineStr">
        <is>
          <t>Logiciels</t>
        </is>
      </c>
      <c r="J76" t="inlineStr"/>
      <c r="K76" t="inlineStr">
        <is>
          <t>RFI/RFP</t>
        </is>
      </c>
      <c r="L76" t="inlineStr">
        <is>
          <t>4.1</t>
        </is>
      </c>
      <c r="M76" t="n">
        <v>25</v>
      </c>
    </row>
    <row r="77">
      <c r="A77" t="inlineStr">
        <is>
          <t>LOG-E-01</t>
        </is>
      </c>
      <c r="B77" t="inlineStr">
        <is>
          <t>Mesure de l'Empreinte Carbone</t>
        </is>
      </c>
      <c r="C77" t="inlineStr"/>
      <c r="D77" t="inlineStr"/>
      <c r="E77" t="inlineStr">
        <is>
          <t>Rapport d'estimation carbone incluant les phases de conception, de développement et de maintenance.</t>
        </is>
      </c>
      <c r="F77" t="inlineStr"/>
      <c r="G77" t="inlineStr">
        <is>
          <t>Fourniture d'un rapport détaillé à chaque évolution logicielle majeure.</t>
        </is>
      </c>
      <c r="H77" t="inlineStr">
        <is>
          <t>Mise à disposition d'un indicateur dynamique de consommation par unité fonctionnelle.</t>
        </is>
      </c>
      <c r="I77" t="inlineStr">
        <is>
          <t>Logiciels</t>
        </is>
      </c>
      <c r="J77" t="inlineStr"/>
      <c r="K77" t="inlineStr">
        <is>
          <t>CCAP &amp; CCTP</t>
        </is>
      </c>
      <c r="L77" t="inlineStr">
        <is>
          <t>4.2</t>
        </is>
      </c>
      <c r="M77" t="n">
        <v>25</v>
      </c>
    </row>
    <row r="78">
      <c r="A78" t="inlineStr">
        <is>
          <t>LOG-E-02</t>
        </is>
      </c>
      <c r="B78" t="inlineStr">
        <is>
          <t>Stratégie d'écointégration</t>
        </is>
      </c>
      <c r="C78" t="inlineStr"/>
      <c r="D78" t="inlineStr"/>
      <c r="E78" t="inlineStr">
        <is>
          <t>Documentation technique précisant les paramètres d'installation optimisés pour l'environnement client.</t>
        </is>
      </c>
      <c r="F78" t="inlineStr"/>
      <c r="G78" t="inlineStr">
        <is>
          <t>Guide de bonnes pratiques pour une installation à faible impact énergétique. Guide de paramétrage et de bonnes pratiques d’usages pour limiter l’empreinte environnementale à l’usage de ces logiciels</t>
        </is>
      </c>
      <c r="H78" t="inlineStr">
        <is>
          <t>Fourniture de scripts de configuration automatisés (profils "éco") pour le déploiement.</t>
        </is>
      </c>
      <c r="I78" t="inlineStr">
        <is>
          <t>Logiciels</t>
        </is>
      </c>
      <c r="J78" t="inlineStr"/>
      <c r="K78" t="inlineStr">
        <is>
          <t>CCAP &amp; CCTP</t>
        </is>
      </c>
      <c r="L78" t="inlineStr">
        <is>
          <t>4.2</t>
        </is>
      </c>
      <c r="M78" t="n">
        <v>25</v>
      </c>
    </row>
    <row r="79">
      <c r="A79" t="inlineStr">
        <is>
          <t>LOG-E-03</t>
        </is>
      </c>
      <c r="B79" t="inlineStr">
        <is>
          <t>Lutte contre l'Obsolescence</t>
        </is>
      </c>
      <c r="C79" t="inlineStr"/>
      <c r="D79" t="inlineStr"/>
      <c r="E79" t="inlineStr">
        <is>
          <t>Analyse d'impact matériel et de compatibilité avec les systèmes existants (OS et terminaux)</t>
        </is>
      </c>
      <c r="F79" t="inlineStr"/>
      <c r="G79" t="inlineStr">
        <is>
          <t>Garantie de compatibilité ascendante sur 3 ans (mobiles) et 5 ans (PC).</t>
        </is>
      </c>
      <c r="H79" t="inlineStr">
        <is>
          <t>Engagement contractuel de non-augmentation des ressources (CPU/RAM) à périmètre fonctionnel égal.</t>
        </is>
      </c>
      <c r="I79" t="inlineStr">
        <is>
          <t>Logiciels</t>
        </is>
      </c>
      <c r="J79" t="inlineStr"/>
      <c r="K79" t="inlineStr">
        <is>
          <t>CCAP &amp; CCTP</t>
        </is>
      </c>
      <c r="L79" t="inlineStr">
        <is>
          <t>4.2</t>
        </is>
      </c>
      <c r="M79" t="n">
        <v>26</v>
      </c>
    </row>
    <row r="80">
      <c r="A80" t="inlineStr">
        <is>
          <t>LOG-E-04</t>
        </is>
      </c>
      <c r="B80" t="inlineStr">
        <is>
          <t>Accessibilité Numérique</t>
        </is>
      </c>
      <c r="C80" t="inlineStr"/>
      <c r="D80" t="inlineStr"/>
      <c r="E80" t="inlineStr">
        <is>
          <t>Déclaration de conformité, rapports d'audit (RGAA/WCAG) et certifications tierces.</t>
        </is>
      </c>
      <c r="F80" t="inlineStr"/>
      <c r="G80" t="inlineStr">
        <is>
          <t>Preuve de dépôt de la Déclaration d'accessibilité légale (taux de conformité &gt; 50 %).</t>
        </is>
      </c>
      <c r="H80" t="inlineStr">
        <is>
          <t>Conformité totale (100 %) certifiée par un audit tiers et tests utilisateurs réels.</t>
        </is>
      </c>
      <c r="I80" t="inlineStr">
        <is>
          <t>Logiciels</t>
        </is>
      </c>
      <c r="J80" t="inlineStr"/>
      <c r="K80" t="inlineStr">
        <is>
          <t>CCAP &amp; CCTP</t>
        </is>
      </c>
      <c r="L80" t="inlineStr">
        <is>
          <t>4.2</t>
        </is>
      </c>
      <c r="M80" t="n">
        <v>26</v>
      </c>
    </row>
    <row r="81">
      <c r="A81" t="inlineStr">
        <is>
          <t>LOG-E-05</t>
        </is>
      </c>
      <c r="B81" t="inlineStr">
        <is>
          <t>Droit à la Déconnexion</t>
        </is>
      </c>
      <c r="C81" t="inlineStr"/>
      <c r="D81" t="inlineStr"/>
      <c r="E81" t="inlineStr">
        <is>
          <t>Documentation fonctionnelle, guides de paramétrage et retours d'expérience clients.</t>
        </is>
      </c>
      <c r="F81" t="inlineStr"/>
      <c r="G81" t="inlineStr">
        <is>
          <t>Présence native de fonctionnalités de mise en veille des notifications hors horaires de travail.</t>
        </is>
      </c>
      <c r="H81" t="inlineStr">
        <is>
          <t>Système de pilotage collectif (RH) permettant de désactiver l'accès aux flux non critiques le week-end.</t>
        </is>
      </c>
      <c r="I81" t="inlineStr">
        <is>
          <t>Logiciels</t>
        </is>
      </c>
      <c r="J81" t="inlineStr"/>
      <c r="K81" t="inlineStr">
        <is>
          <t>CCAP &amp; CCTP</t>
        </is>
      </c>
      <c r="L81" t="inlineStr">
        <is>
          <t>4.2</t>
        </is>
      </c>
      <c r="M81" t="n">
        <v>26</v>
      </c>
    </row>
    <row r="82">
      <c r="A82" t="inlineStr">
        <is>
          <t>DEV-Q-01</t>
        </is>
      </c>
      <c r="B82" t="inlineStr">
        <is>
          <t>Accessibilité Numérique</t>
        </is>
      </c>
      <c r="C82" t="inlineStr">
        <is>
          <t>Niveau de formation des salariés intervenant sur la prestation¶¶[Si l’entreprise du titulaire es basée en France, on fera référence au RGAA qui est la norme nationale. Si l’entreprise du titulaire n’est pas en France on fera référence à la norme internationale WCAG] / Doit respecter la norme WCAG</t>
        </is>
      </c>
      <c r="D82" t="inlineStr"/>
      <c r="E82" t="inlineStr"/>
      <c r="F82" t="inlineStr">
        <is>
          <t>Vos salariés ont-ils été professionnalisés à l’accessibilité numérique dans les 2 années précédentes ?¶¶(WCAG ou RGAA dernières versions en vigueur)</t>
        </is>
      </c>
      <c r="G82" t="inlineStr">
        <is>
          <t>• Sensibilisation réalisée avec attestation et disposer d’une attestions pour les intervenants sur le frontend</t>
        </is>
      </c>
      <c r="H82" t="inlineStr">
        <is>
          <t>• Formation attestation de suivi de formation pour l’ensemble des équipes</t>
        </is>
      </c>
      <c r="I82" t="inlineStr">
        <is>
          <t>Prestations</t>
        </is>
      </c>
      <c r="J82" t="inlineStr">
        <is>
          <t>Développement / Intégration / TMA logiciels</t>
        </is>
      </c>
      <c r="K82" t="inlineStr">
        <is>
          <t>RFI/RFP</t>
        </is>
      </c>
      <c r="L82" t="inlineStr">
        <is>
          <t>5.1.1</t>
        </is>
      </c>
      <c r="M82" t="n">
        <v>27</v>
      </c>
    </row>
    <row r="83">
      <c r="A83" t="inlineStr">
        <is>
          <t>DEV-Q-02</t>
        </is>
      </c>
      <c r="B83" t="inlineStr">
        <is>
          <t>Écoconception</t>
        </is>
      </c>
      <c r="C83" t="inlineStr">
        <is>
          <t>Niveau de formation des prestataires sur la prestation d’écoconception</t>
        </is>
      </c>
      <c r="D83" t="inlineStr"/>
      <c r="E83" t="inlineStr"/>
      <c r="F83" t="inlineStr">
        <is>
          <t>Le Prestataire s’engage à ce que les membres de l’équipe affectés à l’exécution du Marché justifient d’une compétence opérationnelle en écoconception de services numériques. Cette compétence doit être attestée par le suivi, d’une formation portant sur les référentiels de référence (notamment le RGESN ou le GR491). Le Prestataire devra être en mesure de fournir les attestations de formation sur simple demande du Client.</t>
        </is>
      </c>
      <c r="G83" t="inlineStr">
        <is>
          <t>• Attestation de formation pour les profils clés de l'équipe (Product Owner, Designer UX/UI, Développeur Lead).¶• La formation doit explicitement couvrir le RGESN (Référentiel Général d'Écoconception de Services Numériques), qui est le standard interministériel en France.</t>
        </is>
      </c>
      <c r="H83" t="inlineStr">
        <is>
          <t>• Présentation de certifications individuelles reconnues (ex : Certification Numérique Responsable de l'INR, certification Opquast, etc.).¶• Plus de 50 % de l'effectif total de l'entreprise prestataire formé au Numérique Responsable (au-delà de la seule équipe projet).</t>
        </is>
      </c>
      <c r="I83" t="inlineStr">
        <is>
          <t>Prestations</t>
        </is>
      </c>
      <c r="J83" t="inlineStr">
        <is>
          <t>Développement / Intégration / TMA logiciels</t>
        </is>
      </c>
      <c r="K83" t="inlineStr">
        <is>
          <t>RFI/RFP</t>
        </is>
      </c>
      <c r="L83" t="inlineStr">
        <is>
          <t>5.1.1</t>
        </is>
      </c>
      <c r="M83" t="n">
        <v>27</v>
      </c>
    </row>
    <row r="84">
      <c r="A84" t="inlineStr">
        <is>
          <t>DEV-E-01</t>
        </is>
      </c>
      <c r="B84" t="inlineStr">
        <is>
          <t>Le TITULAIRE doit piloter l’écoconception des services numériques</t>
        </is>
      </c>
      <c r="C84" t="inlineStr">
        <is>
          <t>L’objectif est la réduction de l’empreinte carbone par la réalisation d’applications au plus juste des besoins et des moyens mis en œuvre. Ce principe s’applique aussi bien à des services de Build que de Run (TMA évolutive). Ces mesures sont mises en œuvre dans le respect des référentiels de l’Entreprise.</t>
        </is>
      </c>
      <c r="D84" t="inlineStr"/>
      <c r="E84" t="inlineStr">
        <is>
          <t>Définition des enjeux prioritaires d’écoconception par prestation (et selon profil applicatif le cas échéant), identification d’outils de mesure associés (front, back, qualité de code) Fourniture de rapports de mesure d'écoconception selon les évolutions</t>
        </is>
      </c>
      <c r="F84" t="inlineStr"/>
      <c r="G84" t="inlineStr">
        <is>
          <t>Réception validée : Avant la mise en production A chaque évolution significative (montée de version majeure, refonte applicative, refactoring) de la SOLUTION A chaque fin d’itération en mode Agile</t>
        </is>
      </c>
      <c r="H84" t="inlineStr"/>
      <c r="I84" t="inlineStr">
        <is>
          <t>Prestations</t>
        </is>
      </c>
      <c r="J84" t="inlineStr">
        <is>
          <t>Développement / Intégration / TMA logiciels</t>
        </is>
      </c>
      <c r="K84" t="inlineStr">
        <is>
          <t>CCAP &amp; CCTP</t>
        </is>
      </c>
      <c r="L84" t="inlineStr">
        <is>
          <t>5.1.2</t>
        </is>
      </c>
      <c r="M84" t="n">
        <v>27</v>
      </c>
    </row>
    <row r="85">
      <c r="A85" t="inlineStr">
        <is>
          <t>DEV-E-02</t>
        </is>
      </c>
      <c r="B85" t="inlineStr">
        <is>
          <t>Le TITULAIRE doit garantir la comptabilité du SERVICE sur des matériels anciens</t>
        </is>
      </c>
      <c r="C85" t="inlineStr">
        <is>
          <t>Le TITULAIRE s'engage à rendre le service disponible et accessible au plus grand nombre d'utilisateurs en assurant sa compatibilité avec les appareils les plus anciens (OS datant de plus de 5 ans) et des connectivités limitées :¶¶• Le parc d’appareil/navigateurs cible est défini en phase d’initialisation du projet¶• Les contraintes de bande passante sont également définies en phase d’initialisation du projet. (slow4G / fast3G / …)</t>
        </is>
      </c>
      <c r="D85" t="inlineStr"/>
      <c r="E85" t="inlineStr">
        <is>
          <t>Rapport manuel ou automatisé Test navigateur</t>
        </is>
      </c>
      <c r="F85" t="inlineStr"/>
      <c r="G85" t="inlineStr"/>
      <c r="H85" t="inlineStr"/>
      <c r="I85" t="inlineStr">
        <is>
          <t>Prestations</t>
        </is>
      </c>
      <c r="J85" t="inlineStr">
        <is>
          <t>Développement / Intégration / TMA logiciels</t>
        </is>
      </c>
      <c r="K85" t="inlineStr">
        <is>
          <t>CCAP &amp; CCTP</t>
        </is>
      </c>
      <c r="L85" t="inlineStr">
        <is>
          <t>5.1.2</t>
        </is>
      </c>
      <c r="M85" t="n">
        <v>28</v>
      </c>
    </row>
    <row r="86">
      <c r="A86" t="inlineStr">
        <is>
          <t>DEV-E-03</t>
        </is>
      </c>
      <c r="B86" t="inlineStr">
        <is>
          <t>Engagement Social et Inclusion</t>
        </is>
      </c>
      <c r="C86" t="inlineStr">
        <is>
          <t>Le Titulaire s’engage, durant toute la durée du Marché, à mettre en œuvre des actions concrètes en faveur de l’emploi de personnes éloignées de l’activité économique ou en situation de handicap. Cet engagement se traduit par :¶¶• Le recrutement direct de personnes éligibles aux dispositifs d'insertion.¶• La sous-traitance ou co-traitance avec des structures de l’IAE (SIAE) ou du secteur du travail protégé et adapté (STPA/EA/ESAT).¶¶Le Titulaire est tenu de produire un suivi régulier de ces actions via les livrables définis ci-après.</t>
        </is>
      </c>
      <c r="D86" t="inlineStr"/>
      <c r="E86" t="inlineStr">
        <is>
          <t>Pour garantir le suivi effectif de la clause, le prestataire doit fournir :¶¶• Tableau de suivi mensuel : Relevé du nombre d'heures d'insertion réalisées et/ou montant du chiffre d'affaires confié au secteur STPA/SIAE.¶• Rapport d'impact social annuel : Note de synthèse détaillant les parcours des bénéficiaires et la nature des prestations réalisées.¶• Bilan final de clôture de marché : Consolidation des indicateurs sociaux sur toute la durée du contrat.</t>
        </is>
      </c>
      <c r="F86" t="inlineStr"/>
      <c r="G86" t="inlineStr">
        <is>
          <t>• Respect d'un quota minimal : Un nombre d'heures d'insertion minimum (ex: 5% du volume horaire total du marché) ou un pourcentage minimal de sous-traitance sociale.¶• Attestation de d’éligibilité : Fourniture des certificats d'appartenance au réseau SIAE ou STPA pour les sous-traitants mobilisés.¶• Reporting obligatoire : Transmission systématique des justificatifs mensuels sous peine de pénalités contractuelles.</t>
        </is>
      </c>
      <c r="H86" t="inlineStr">
        <is>
          <t>• Parcours de montée en compétences : Mise en place d'un tutorat spécifique ou d'un transfert de compétences numériques par les experts du Titulaire vers les salariés en insertion.¶• Durabilité du partenariat : Preuve d'un partenariat pluriannuel avec une structure de l'économie sociale et solidaire (ESS) dépassant le cadre strict du contrat.¶• Inclusion dans l'innovation : Implication de structures du STPA sur des prestations à haute valeur ajoutée (ex : tests d'accessibilité numérique, maintenance logicielle de premier niveau) plutôt que sur des tâches logistiques simples.¶• Capacité à recruter des salariés de structures SIAE et STPA en suite de parcours dans le domaine ordinaire</t>
        </is>
      </c>
      <c r="I86" t="inlineStr">
        <is>
          <t>Prestations</t>
        </is>
      </c>
      <c r="J86" t="inlineStr">
        <is>
          <t>Développement / Intégration / TMA logiciels</t>
        </is>
      </c>
      <c r="K86" t="inlineStr">
        <is>
          <t>CCAP &amp; CCTP</t>
        </is>
      </c>
      <c r="L86" t="inlineStr">
        <is>
          <t>5.1.2</t>
        </is>
      </c>
      <c r="M86" t="n">
        <v>28</v>
      </c>
    </row>
    <row r="87">
      <c r="A87" t="inlineStr">
        <is>
          <t>DEV-E-04</t>
        </is>
      </c>
      <c r="B87" t="inlineStr">
        <is>
          <t>Accessibilité Numérique</t>
        </is>
      </c>
      <c r="C87" t="inlineStr">
        <is>
          <t>Compétences en Accessibilité Numérique : Le Titulaire s’engage à ce que les intervenants affectés à la conception, au développement et aux tests des services numériques disposent d’une expertise avérée en accessibilité numérique. Cette compétence doit être maintenue à jour au regard des évolutions du RGAA (Référentiel Général d’Amélioration de l’Accessibilité) et des normes internationales WCAG. Le Titulaire doit justifier d’un plan de formation continue pour ses équipes, dont le taux d'avancement sera suivi lors de chaque comité contractuel.</t>
        </is>
      </c>
      <c r="D87" t="inlineStr"/>
      <c r="E87" t="inlineStr">
        <is>
          <t>• Registre annuel des formations : Liste nominative des collaborateurs formés avec les dates de fin de validité des acquis.¶• Attestations de formation ou certifications : Preuves individuelles de suivi de cursus spécialisés (ex: développeur accessible, designer inclusif).¶• Tableau de bord de suivi du taux de formation : Indicateur consolidé présentant le pourcentage de l'équipe projet ayant suivi une formation de moins de 24 mois.</t>
        </is>
      </c>
      <c r="F87" t="inlineStr"/>
      <c r="G87" t="inlineStr">
        <is>
          <t>• Formation obligatoire sur le RGAA : 100% des profils techniques (développeurs, UX/UI designers) doivent avoir suivi une formation opérationnelle sur le référentiel national français.¶• Preuve que les équipes sont sensibilisées aux nouvelles obligations du European Accessibility Act (EAA) applicables dès juin 2025.¶• Preuve de suivi : Fourniture systématique des certificats de réalisation ou attestations de présence.</t>
        </is>
      </c>
      <c r="H87" t="inlineStr">
        <is>
          <t>• Présentation de certifications tierces comme la certification Opquast (niveau expert) ou des certifications internationales de l'IAAP.¶• Capacité du prestataire à organiser des sessions de tests utilisateurs incluant des personnes en situation de handicap (moteur, visuel, auditif, cognitif).¶• Participation active des équipes à des journées de sensibilisation mondiale comme le GAAD (Global Accessibility Awareness Day).¶• Présence au sein de l'équipe d'un auditeur capable de délivrer une déclaration de conformité officielle.</t>
        </is>
      </c>
      <c r="I87" t="inlineStr">
        <is>
          <t>Prestations</t>
        </is>
      </c>
      <c r="J87" t="inlineStr">
        <is>
          <t>Développement / Intégration / TMA logiciels</t>
        </is>
      </c>
      <c r="K87" t="inlineStr">
        <is>
          <t>CCAP &amp; CCTP</t>
        </is>
      </c>
      <c r="L87" t="inlineStr">
        <is>
          <t>5.1.2</t>
        </is>
      </c>
      <c r="M87" t="n">
        <v>29</v>
      </c>
    </row>
    <row r="88">
      <c r="A88" t="inlineStr">
        <is>
          <t>DEV-E-05</t>
        </is>
      </c>
      <c r="B88" t="inlineStr">
        <is>
          <t>Accessibilité Numérique</t>
        </is>
      </c>
      <c r="C88" t="inlineStr">
        <is>
          <t>Conformité et Accessibilité par défaut : Le Titulaire s'engage à livrer une SOLUTION numérique (logiciel, site web, application) strictement conforme aux standards d'accessibilité en vigueur (RGAA 4.1 au niveau AA ou WCAG 2.1). Cette exigence d'accessibilité "by design" s'applique à l'interface standard ainsi qu'à tout développement spécifique ou adaptation graphique réalisé pour le compte de l'ENTREPRISE. La SOLUTION doit garantir une interopérabilité totale avec les technologies d'assistance (lecteurs d'écran, plages braille, dispositifs de navigation alternative) et permettre une personnalisation de l'affichage (taille des polices, contrastes) sans perte d'information.</t>
        </is>
      </c>
      <c r="D88" t="inlineStr"/>
      <c r="E88" t="inlineStr">
        <is>
          <t>Pour valider techniquement la solution, le prestataire doit fournir :¶¶• Audit d’accessibilité initial (en phase de conception) : Rapport sur les maquettes et prototypes pour corriger les erreurs au plus tôt.¶• Audit d’accessibilité final (avant mise en production) : Rapport complet réalisé par un expert indépendant ou un outil certifié, listant les points de conformité et les éventuelles non-conformités résiduelles.¶• Déclaration d'accessibilité : Document officiel rédigé selon le modèle légal, destiné à être publié sur la solution, mentionnant le taux de conformité atteint.¶• Guide d'administration accessible : Pour les solutions avec back-office, un guide expliquant comment maintenir l'accessibilité lors de l'ajout de contenus (textes alternatifs, structure de titres, etc.).</t>
        </is>
      </c>
      <c r="F88" t="inlineStr"/>
      <c r="G88" t="inlineStr">
        <is>
          <t>• Conformité technique RGAA/WCAG : Atteindre un taux de conformité d'au moins 50% (niveau AA) dès la livraison initiale.¶• Navigation clavier intégrale : Toutes les fonctionnalités doivent être utilisables sans souris.¶• Correction des blocages critiques : Aucune erreur dite "bloquante" (ex: absence de focus, formulaires non étiquetés, contrastes illisibles) ne doit subsister à la mise en production.¶• Support vérifié des principaux lecteurs d'écran (NVDA, JAWS, VoiceOver).</t>
        </is>
      </c>
      <c r="H88" t="inlineStr">
        <is>
          <t>• Viser l'excellence avec une conformité totale au niveau AA, voire des critères du niveau AAA (ex: contrastes renforcés).¶• Faire valider la conformité par un organisme spécialisé externe au prestataire.¶• Garantie que les composants externes (cartes, lecteurs vidéo, widgets) intégrés à la solution sont également accessibles.¶• PV de recette incluant des tests réalisés par des utilisateurs en situation de handicap réel.</t>
        </is>
      </c>
      <c r="I88" t="inlineStr">
        <is>
          <t>Prestations</t>
        </is>
      </c>
      <c r="J88" t="inlineStr">
        <is>
          <t>Développement / Intégration / TMA logiciels</t>
        </is>
      </c>
      <c r="K88" t="inlineStr">
        <is>
          <t>CCAP &amp; CCTP</t>
        </is>
      </c>
      <c r="L88" t="inlineStr">
        <is>
          <t>5.1.2</t>
        </is>
      </c>
      <c r="M88" t="n">
        <v>29</v>
      </c>
    </row>
    <row r="89">
      <c r="A89" t="inlineStr">
        <is>
          <t>DEV-E-06</t>
        </is>
      </c>
      <c r="B89" t="inlineStr">
        <is>
          <t>Inclusion (compatibilité terminaux anciens / faible connectivité)</t>
        </is>
      </c>
      <c r="C89" t="inlineStr">
        <is>
          <t>Inclusion et Sobriété Technique : Le Titulaire s'engage à concevoir une SOLUTION universellement accessible, garantissant une expérience utilisateur fluide quel que soit l'équipement ou la qualité de la connexion réseau.¶¶• Compatibilité Matérielle : La SOLUTION doit être optimisée pour fonctionner sur des terminaux anciens. Le Titulaire doit garantir une compatibilité ascendante avec les navigateurs et systèmes d'exploitation datant d'au moins cinq (5) ans.¶• Performance en connectivité dégradée : La SOLUTION doit rester fonctionnelle et utilisable sur des réseaux à faible débit (type 3G ou 4G instable). Le Titulaire s'engage à minimiser le poids des pages et le nombre de requêtes serveurs pour permettre un affichage rapide en toutes circonstances.</t>
        </is>
      </c>
      <c r="D89" t="inlineStr"/>
      <c r="E89" t="inlineStr">
        <is>
          <t>Pour justifier de la robustesse de la solution :¶¶• Note de cadrage technique : Définition précise du parc de terminaux et navigateurs cibles, basée si possible sur l'analyse de l'audience existante.¶• Rapport d'Audit de Performance et Compatibilité (Avant MEP) : Rapport de tests incluant des mesures de temps de chargement en conditions de "Throttling" (simulation de bas débit) et tests sur navigateurs anciens.¶• Spécifications d'écoconception technique : Document listant les choix faits pour réduire le poids des ressources (images compressées, lazy-loading, minification du code).</t>
        </is>
      </c>
      <c r="F89" t="inlineStr"/>
      <c r="G89" t="inlineStr">
        <is>
          <t>• Seuil de compatibilité 90% : Garantie de bon fonctionnement sur 90% des navigateurs du marché datant de 5 ans ou plus.¶• Performance "Bas Débit" : Temps de chargement inférieur à un seuil défini (ex: &lt; 5 secondes) sur une connexion simulée 3G.¶• Dégradation élégante : Si une fonctionnalité avancée ne fonctionne pas sur un vieux terminal, le service de base doit rester accessible et lisible.</t>
        </is>
      </c>
      <c r="H89" t="inlineStr">
        <is>
          <t>• Mode Hors-Ligne : capacité de la solution à stocker certaines données localement pour permettre une consultation sans réseau.¶• Engagement sur un poids moyen de page inférieur à 1 Mo (hors vidéo).¶• Compatibilité &gt; 7 ans : support de terminaux encore plus anciens pour maximiser la durée de vie des équipements des utilisateurs.¶• Réalisation des tests sur des appareils réels (vieux smartphones/tablettes) et non uniquement via des émulateurs.</t>
        </is>
      </c>
      <c r="I89" t="inlineStr">
        <is>
          <t>Prestations</t>
        </is>
      </c>
      <c r="J89" t="inlineStr">
        <is>
          <t>Développement / Intégration / TMA logiciels</t>
        </is>
      </c>
      <c r="K89" t="inlineStr">
        <is>
          <t>CCAP &amp; CCTP</t>
        </is>
      </c>
      <c r="L89" t="inlineStr">
        <is>
          <t>5.1.2</t>
        </is>
      </c>
      <c r="M89" t="n">
        <v>30</v>
      </c>
    </row>
    <row r="90">
      <c r="A90" t="inlineStr">
        <is>
          <t>INF-Q-01</t>
        </is>
      </c>
      <c r="B90" t="inlineStr">
        <is>
          <t>Amélioration continue de la prestation fournie</t>
        </is>
      </c>
      <c r="C90" t="inlineStr">
        <is>
          <t>Processus, méthodologie : empreinte de la prestation (infogérance, TMA)</t>
        </is>
      </c>
      <c r="D90" t="inlineStr"/>
      <c r="E90" t="inlineStr"/>
      <c r="F90" t="inlineStr">
        <is>
          <t>• Quel processus d’innovation ou d’amélioration continue mettez-vous en œuvre dans le cadre de la prestation pour en améliorer la performance environnementale ?</t>
        </is>
      </c>
      <c r="G90" t="inlineStr"/>
      <c r="H90" t="inlineStr">
        <is>
          <t>Revue annuelle</t>
        </is>
      </c>
      <c r="I90" t="inlineStr">
        <is>
          <t>Prestations</t>
        </is>
      </c>
      <c r="J90" t="inlineStr">
        <is>
          <t>Infogérance bureautique</t>
        </is>
      </c>
      <c r="K90" t="inlineStr">
        <is>
          <t>RFI/RFP</t>
        </is>
      </c>
      <c r="L90" t="inlineStr">
        <is>
          <t>5.2.1</t>
        </is>
      </c>
      <c r="M90" t="n">
        <v>31</v>
      </c>
    </row>
    <row r="91">
      <c r="A91" t="inlineStr">
        <is>
          <t>INF-Q-02</t>
        </is>
      </c>
      <c r="B91" t="inlineStr">
        <is>
          <t>Infogérance à distance</t>
        </is>
      </c>
      <c r="C91" t="inlineStr">
        <is>
          <t>Support utilisateurs</t>
        </is>
      </c>
      <c r="D91" t="inlineStr"/>
      <c r="E91" t="inlineStr"/>
      <c r="F91" t="inlineStr">
        <is>
          <t>• Quelles actions de support sont réalisées à distance ?</t>
        </is>
      </c>
      <c r="G91" t="inlineStr">
        <is>
          <t>Prise en main systématique à distance</t>
        </is>
      </c>
      <c r="H91" t="inlineStr">
        <is>
          <t>Solution innovante</t>
        </is>
      </c>
      <c r="I91" t="inlineStr">
        <is>
          <t>Prestations</t>
        </is>
      </c>
      <c r="J91" t="inlineStr">
        <is>
          <t>Infogérance bureautique</t>
        </is>
      </c>
      <c r="K91" t="inlineStr">
        <is>
          <t>RFI/RFP</t>
        </is>
      </c>
      <c r="L91" t="inlineStr">
        <is>
          <t>5.2.1</t>
        </is>
      </c>
      <c r="M91" t="n">
        <v>31</v>
      </c>
    </row>
    <row r="92">
      <c r="A92" t="inlineStr">
        <is>
          <t>INF-Q-03</t>
        </is>
      </c>
      <c r="B92" t="inlineStr">
        <is>
          <t>Infogérance à distance</t>
        </is>
      </c>
      <c r="C92" t="inlineStr">
        <is>
          <t>Mises à jour,¶¶patching</t>
        </is>
      </c>
      <c r="D92" t="inlineStr"/>
      <c r="E92" t="inlineStr"/>
      <c r="F92" t="inlineStr">
        <is>
          <t>• Quelles sont les mises à jour type réalisées à distance ?</t>
        </is>
      </c>
      <c r="G92" t="inlineStr">
        <is>
          <t>Toutes les mises à jour hors situation de crise (patchs de sécurité, majeures, mise à jour mineures, …) sauf celles impliquant un changement de pièce matériel</t>
        </is>
      </c>
      <c r="H92" t="inlineStr"/>
      <c r="I92" t="inlineStr">
        <is>
          <t>Prestations</t>
        </is>
      </c>
      <c r="J92" t="inlineStr">
        <is>
          <t>Infogérance bureautique</t>
        </is>
      </c>
      <c r="K92" t="inlineStr">
        <is>
          <t>RFI/RFP</t>
        </is>
      </c>
      <c r="L92" t="inlineStr">
        <is>
          <t>5.2.1</t>
        </is>
      </c>
      <c r="M92" t="n">
        <v>31</v>
      </c>
    </row>
    <row r="93">
      <c r="A93" t="inlineStr">
        <is>
          <t>INF-Q-04</t>
        </is>
      </c>
      <c r="B93" t="inlineStr">
        <is>
          <t>Optimisation durable de la Supply Chain</t>
        </is>
      </c>
      <c r="C93" t="inlineStr"/>
      <c r="D93" t="inlineStr"/>
      <c r="E93" t="inlineStr"/>
      <c r="F93" t="inlineStr">
        <is>
          <t>• Comment optimisez-vous vos niveaux de stocks pour éviter l'obsolescence prématurée et le gaspillage de composants ?¶• Quels processus logistiques avez-vous mis en place pour assurer la collecte et le traitement (réemploi ou recyclage) des équipements en fin de vie ?¶• Quelles mesures appliquez-vous pour supprimer les plastiques à usage unique et minimiser le vide dans vos colis d'expédition ?¶• Quelle est votre démarche de réduction de l'empreinte carbone liée au transport et à la livraison des équipements (Scope 3) ?</t>
        </is>
      </c>
      <c r="G93" t="inlineStr">
        <is>
          <t>• Transparence sur les modes de transport utilisés et engagement de réduction des émissions.¶• Procédure de gestion des stocks évitant la mise au rebut de produits neufs.¶• Capacité à reprendre le matériel usagé lors de la livraison du matériel neuf.</t>
        </is>
      </c>
      <c r="H93" t="inlineStr">
        <is>
          <t>• Livraison "Zéro Émission" (100% électrique ou mobilité douce) sur les zones urbaines.¶• Système de consigne ou de "Product-as-a-Service" : le prestataire reste propriétaire et assure la maintenance totale.</t>
        </is>
      </c>
      <c r="I93" t="inlineStr">
        <is>
          <t>Prestations</t>
        </is>
      </c>
      <c r="J93" t="inlineStr">
        <is>
          <t>Infogérance bureautique</t>
        </is>
      </c>
      <c r="K93" t="inlineStr">
        <is>
          <t>RFI/RFP</t>
        </is>
      </c>
      <c r="L93" t="inlineStr">
        <is>
          <t>5.2.1</t>
        </is>
      </c>
      <c r="M93" t="n">
        <v>31</v>
      </c>
    </row>
    <row r="94">
      <c r="A94" t="inlineStr">
        <is>
          <t>INF-Q-05</t>
        </is>
      </c>
      <c r="B94" t="inlineStr">
        <is>
          <t>Réparation des matériels</t>
        </is>
      </c>
      <c r="C94" t="inlineStr"/>
      <c r="D94" t="inlineStr"/>
      <c r="E94" t="inlineStr"/>
      <c r="F94" t="inlineStr">
        <is>
          <t>• Où sont situés vos centres de réparation ? Privilégiez-vous des réseaux de réparateurs locaux pour limiter l'impact du transport ?¶• Détaillez votre capacité d'intervention : s'agit-il de remplacements de modules complets ou de réparations au composant (plus sobre) ?¶• Comment garantissez-vous la disponibilité des pièces sur le long terme ? Disposez-vous d'un stock tampon dédié au contrat ?</t>
        </is>
      </c>
      <c r="G94" t="inlineStr">
        <is>
          <t>• Disponibilité des pièces pendant 5 ans minimum.¶• Centre de réparation situé dans l'Union Européenne.¶• Matériel standard dont la batterie et l'écran sont remplaçables avec des outils courants.</t>
        </is>
      </c>
      <c r="H94" t="inlineStr">
        <is>
          <t>• Disponibilité étendue à 10 ans ou engagement de fourniture de pièces issues de l'économie circulaire (reconditionnées).¶• Être vigilant quant à l’appréciation de la proximité des centres de réparation. Dans le cadre de la commande publique, il est généralement préférable de privilégier une exigence de réactivité plutôt qu’une appréciation de la distance, afin d’éviter tout risque d’atteinte au principe d’égalité de traitement. (Exemple : prise en compte du ticket sous 1H et une intervention sur place sous 2H)¶• Atelier de réparation interne certifié ou partenariat avec une Entreprise Adaptée/ESAT spécialisée dans le SAV.</t>
        </is>
      </c>
      <c r="I94" t="inlineStr">
        <is>
          <t>Prestations</t>
        </is>
      </c>
      <c r="J94" t="inlineStr">
        <is>
          <t>Infogérance bureautique</t>
        </is>
      </c>
      <c r="K94" t="inlineStr">
        <is>
          <t>RFI/RFP</t>
        </is>
      </c>
      <c r="L94" t="inlineStr">
        <is>
          <t>5.2.1</t>
        </is>
      </c>
      <c r="M94" t="n">
        <v>31</v>
      </c>
    </row>
    <row r="95">
      <c r="A95" t="inlineStr">
        <is>
          <t>IA-Q-01</t>
        </is>
      </c>
      <c r="B95" t="inlineStr">
        <is>
          <t>Mesure de l'Empreinte Carbone</t>
        </is>
      </c>
      <c r="C95" t="inlineStr">
        <is>
          <t>ISO/IEC 21031 :2024 (SCI), RIA31. Focus sur le cycle de vie.</t>
        </is>
      </c>
      <c r="D95" t="inlineStr"/>
      <c r="E95" t="inlineStr"/>
      <c r="F95" t="inlineStr">
        <is>
          <t>• Publiez-vous les indicateurs d'impact du service (Scopes 1, 2, 3) ? Quelle est l'empreinte spécifique à l'usage (inférence) ?</t>
        </is>
      </c>
      <c r="G95" t="inlineStr">
        <is>
          <t>• Publication du GWP (Global Warming Potential) lié à la phase d'inférence.</t>
        </is>
      </c>
      <c r="H95" t="inlineStr">
        <is>
          <t>• Dashboard dynamique incluant GWP et WCF (Water Footprint). Périmètre complet : Entraînement + Inférence.</t>
        </is>
      </c>
      <c r="I95" t="inlineStr">
        <is>
          <t>IA</t>
        </is>
      </c>
      <c r="J95" t="inlineStr">
        <is>
          <t>IA et IAg prêt à l’emploi (chabot, détection automatique, …)</t>
        </is>
      </c>
      <c r="K95" t="inlineStr">
        <is>
          <t>RFI/RFP</t>
        </is>
      </c>
      <c r="L95" t="inlineStr">
        <is>
          <t>6.3</t>
        </is>
      </c>
      <c r="M95" t="n">
        <v>35</v>
      </c>
    </row>
    <row r="96">
      <c r="A96" t="inlineStr">
        <is>
          <t>IA-Q-02</t>
        </is>
      </c>
      <c r="B96" t="inlineStr">
        <is>
          <t>Efficience &amp; Frugalité Numérique</t>
        </is>
      </c>
      <c r="C96" t="inlineStr">
        <is>
          <t>AFNOR Spec IA Frugale, ISO 42001. Techniques : Quantization, Pruning, Caching.</t>
        </is>
      </c>
      <c r="D96" t="inlineStr"/>
      <c r="E96" t="inlineStr"/>
      <c r="F96" t="inlineStr">
        <is>
          <t>• Quelles techniques d'optimisation (distillation, batching, etc.) sont appliquées pour réduire l'énergie par requête ?</t>
        </is>
      </c>
      <c r="G96" t="inlineStr">
        <is>
          <t>• Preuve d'optimisation entre le modèle labo et la prod. Justifier le choix de l'Unité Fonctionnelle (ex : pour 1k tokens).</t>
        </is>
      </c>
      <c r="H96" t="inlineStr">
        <is>
          <t>• Réduction mesurée de X % de la consommation et ressources et empreinte environnementale grâce aux optimisations. Conformité auditée à l'AFNOR Spec IA Frugale.</t>
        </is>
      </c>
      <c r="I96" t="inlineStr">
        <is>
          <t>IA</t>
        </is>
      </c>
      <c r="J96" t="inlineStr">
        <is>
          <t>IA et IAg prêt à l’emploi (chabot, détection automatique, …)</t>
        </is>
      </c>
      <c r="K96" t="inlineStr">
        <is>
          <t>RFI/RFP</t>
        </is>
      </c>
      <c r="L96" t="inlineStr">
        <is>
          <t>6.3</t>
        </is>
      </c>
      <c r="M96" t="n">
        <v>35</v>
      </c>
    </row>
    <row r="97">
      <c r="A97" t="inlineStr">
        <is>
          <t>IA-Q-03</t>
        </is>
      </c>
      <c r="B97" t="inlineStr">
        <is>
          <t>Localisation &amp; Intensité Carbone</t>
        </is>
      </c>
      <c r="C97" t="inlineStr">
        <is>
          <t>Localisation des serveurs de calcul (GPU/TPU).</t>
        </is>
      </c>
      <c r="D97" t="inlineStr"/>
      <c r="E97" t="inlineStr"/>
      <c r="F97" t="inlineStr">
        <is>
          <t>• Où sont physiquement réalisés l'entraînement et l'inférence ?¶• Quel est le mix énergétique utilisé par le(s) datacenter(s) hébergeant la solution IA (répartition en % des sources d’énergie, notamment renouvelables) ?¶• Choix du lieu d'hébergement du service en phase d'inférence ?</t>
        </is>
      </c>
      <c r="G97" t="inlineStr">
        <is>
          <t>• Déclaration du pays d'hébergement et conformité aux exigences de la section 3.1 (Infrastructure).</t>
        </is>
      </c>
      <c r="H97" t="inlineStr">
        <is>
          <t>• Choix de régions à faible intensité carbone (Location-based) et transparence sur les pics de consommation.</t>
        </is>
      </c>
      <c r="I97" t="inlineStr">
        <is>
          <t>IA</t>
        </is>
      </c>
      <c r="J97" t="inlineStr">
        <is>
          <t>IA et IAg prêt à l’emploi (chabot, détection automatique, …)</t>
        </is>
      </c>
      <c r="K97" t="inlineStr">
        <is>
          <t>RFI/RFP</t>
        </is>
      </c>
      <c r="L97" t="inlineStr">
        <is>
          <t>6.3</t>
        </is>
      </c>
      <c r="M97" t="n">
        <v>36</v>
      </c>
    </row>
    <row r="98">
      <c r="A98" t="inlineStr">
        <is>
          <t>IA-Q-04</t>
        </is>
      </c>
      <c r="B98" t="inlineStr">
        <is>
          <t>Empreinte Environnementale</t>
        </is>
      </c>
      <c r="C98" t="inlineStr">
        <is>
          <t>Conformité à l'Art. 53(1) Point (a) pour les modèles d'IA à usage général.</t>
        </is>
      </c>
      <c r="D98" t="inlineStr"/>
      <c r="E98" t="inlineStr"/>
      <c r="F98" t="inlineStr">
        <is>
          <t>Dans le but d‘estimer l’empreinte de ces modèles quels données sont-elles mises à disposition de vos clients</t>
        </is>
      </c>
      <c r="G98" t="inlineStr">
        <is>
          <t>Mise à disposition des données de tokens</t>
        </is>
      </c>
      <c r="H98" t="inlineStr">
        <is>
          <t>Dashboard détaillé incluant l'intensité carbone (CO2e) par requête et l'empreinte eau (WUE).</t>
        </is>
      </c>
      <c r="I98" t="inlineStr">
        <is>
          <t>IA</t>
        </is>
      </c>
      <c r="J98" t="inlineStr">
        <is>
          <t>IA / Accès à des modèles fondationnels</t>
        </is>
      </c>
      <c r="K98" t="inlineStr">
        <is>
          <t>RFI/RFP</t>
        </is>
      </c>
      <c r="L98" t="inlineStr">
        <is>
          <t>6.4</t>
        </is>
      </c>
      <c r="M98" t="n">
        <v>36</v>
      </c>
    </row>
    <row r="99">
      <c r="A99" t="inlineStr">
        <is>
          <t>IA-Q-05</t>
        </is>
      </c>
      <c r="B99" t="inlineStr">
        <is>
          <t>Gouvernance des Données</t>
        </is>
      </c>
      <c r="C99" t="inlineStr">
        <is>
          <t>Respect de la propriété intellectuelle et de la qualité des données.</t>
        </is>
      </c>
      <c r="D99" t="inlineStr"/>
      <c r="E99" t="inlineStr"/>
      <c r="F99" t="inlineStr">
        <is>
          <t>Pouvez-vous fournir un résumé du contenu utilisé pour l'entraînement et prouver le respect du droit d'auteur ?</t>
        </is>
      </c>
      <c r="G99" t="inlineStr">
        <is>
          <t>Publication d'un résumé détaillé du corpus d'entraînement (Art. 53).</t>
        </is>
      </c>
      <c r="H99" t="inlineStr">
        <is>
          <t>Audit tiers sur la provenance éthique des données et l'absence de biais majeurs.</t>
        </is>
      </c>
      <c r="I99" t="inlineStr">
        <is>
          <t>IA</t>
        </is>
      </c>
      <c r="J99" t="inlineStr">
        <is>
          <t>IA / Accès à des modèles fondationnels</t>
        </is>
      </c>
      <c r="K99" t="inlineStr">
        <is>
          <t>RFI/RFP</t>
        </is>
      </c>
      <c r="L99" t="inlineStr">
        <is>
          <t>6.4</t>
        </is>
      </c>
      <c r="M99" t="n">
        <v>36</v>
      </c>
    </row>
    <row r="100">
      <c r="A100" t="inlineStr">
        <is>
          <t>IA-Q-06</t>
        </is>
      </c>
      <c r="B100" t="inlineStr">
        <is>
          <t>Sobriété du Modèle</t>
        </is>
      </c>
      <c r="C100" t="inlineStr">
        <is>
          <t>Optimisation des ressources pour un service équivalent.</t>
        </is>
      </c>
      <c r="D100" t="inlineStr"/>
      <c r="E100" t="inlineStr"/>
      <c r="F100" t="inlineStr">
        <is>
          <t>Quelles techniques de "frugalité" (quantification, distillation) ont été appliquées au modèle ?</t>
        </is>
      </c>
      <c r="G100" t="inlineStr">
        <is>
          <t>Documentation technique sur l'architecture du modèle et son efficacité relative.</t>
        </is>
      </c>
      <c r="H100" t="inlineStr">
        <is>
          <t>Preuve de réduction de la consommation par rapport à la version précédente à performance égale.</t>
        </is>
      </c>
      <c r="I100" t="inlineStr">
        <is>
          <t>IA</t>
        </is>
      </c>
      <c r="J100" t="inlineStr">
        <is>
          <t>IA / Accès à des modèles fondationnels</t>
        </is>
      </c>
      <c r="K100" t="inlineStr">
        <is>
          <t>RFI/RFP</t>
        </is>
      </c>
      <c r="L100" t="inlineStr">
        <is>
          <t>6.4</t>
        </is>
      </c>
      <c r="M100" t="n">
        <v>36</v>
      </c>
    </row>
    <row r="101">
      <c r="A101" t="inlineStr">
        <is>
          <t>IA-Q-07</t>
        </is>
      </c>
      <c r="B101" t="inlineStr">
        <is>
          <t>Empreinte environnementale</t>
        </is>
      </c>
      <c r="C101" t="inlineStr">
        <is>
          <t>Transparence sur l’usage des ressources et la méthodologie de calcul de l'impact carbone.</t>
        </is>
      </c>
      <c r="D101" t="inlineStr"/>
      <c r="E101" t="inlineStr"/>
      <c r="F101" t="inlineStr">
        <is>
          <t>Fournissez-vous les fiches Product Carbon Footprint (PCF) ? Quelle méthodologie d’évaluation des impacts utilisez-vous ?</t>
        </is>
      </c>
      <c r="G101" t="inlineStr">
        <is>
          <t>Publication systématique des fiches PCF par équipement.</t>
        </is>
      </c>
      <c r="H101" t="inlineStr">
        <is>
          <t>Analyse de Cycle de Vie (ACV) multicritères (eau, métaux) certifiée par un organisme tiers.</t>
        </is>
      </c>
      <c r="I101" t="inlineStr">
        <is>
          <t>IA</t>
        </is>
      </c>
      <c r="J101" t="inlineStr">
        <is>
          <t>IA / Infrastructure de développement et de déploiement ou de stockage des données</t>
        </is>
      </c>
      <c r="K101" t="inlineStr">
        <is>
          <t>RFI/RFP</t>
        </is>
      </c>
      <c r="L101" t="inlineStr">
        <is>
          <t>6.5</t>
        </is>
      </c>
      <c r="M101" t="n">
        <v>36</v>
      </c>
    </row>
    <row r="102">
      <c r="A102" t="inlineStr">
        <is>
          <t>IA-Q-08</t>
        </is>
      </c>
      <c r="B102" t="inlineStr">
        <is>
          <t>Efficacité énergétique</t>
        </is>
      </c>
      <c r="C102" t="inlineStr">
        <is>
          <t>Analyse de la performance par Watt via des certificats (Energy Star ou équivalent) et des benchmarks de calcul (FLOPS).</t>
        </is>
      </c>
      <c r="D102" t="inlineStr"/>
      <c r="E102" t="inlineStr"/>
      <c r="F102" t="inlineStr">
        <is>
          <t>Publiez-vous les données de puissance de calcul et de consommation réelle en charge (TDP) ?</t>
        </is>
      </c>
      <c r="G102" t="inlineStr">
        <is>
          <t>Publication des données d'efficacité énergétique et certificats types.</t>
        </is>
      </c>
      <c r="H102" t="inlineStr">
        <is>
          <t>Garantie d'un ratio Performance/Watt supérieur aux standards et benchmarks spécifiques par cas d'usage (entraînement vs inférence).</t>
        </is>
      </c>
      <c r="I102" t="inlineStr">
        <is>
          <t>IA</t>
        </is>
      </c>
      <c r="J102" t="inlineStr">
        <is>
          <t>IA / Infrastructure de développement et de déploiement ou de stockage des données</t>
        </is>
      </c>
      <c r="K102" t="inlineStr">
        <is>
          <t>RFI/RFP</t>
        </is>
      </c>
      <c r="L102" t="inlineStr">
        <is>
          <t>6.5</t>
        </is>
      </c>
      <c r="M102" t="n">
        <v>36</v>
      </c>
    </row>
    <row r="103">
      <c r="A103" t="inlineStr">
        <is>
          <t>IA-Q-09</t>
        </is>
      </c>
      <c r="B103" t="inlineStr">
        <is>
          <t>Écoconception matérielle</t>
        </is>
      </c>
      <c r="C103" t="inlineStr">
        <is>
          <t>Capacité du matériel à être réparé et maintenu pour prolonger sa durée de vie.</t>
        </is>
      </c>
      <c r="D103" t="inlineStr"/>
      <c r="E103" t="inlineStr"/>
      <c r="F103" t="inlineStr">
        <is>
          <t>Quel est l'indice de réparabilité du matériel et la durée de disponibilité des pièces détachées ?</t>
        </is>
      </c>
      <c r="G103" t="inlineStr">
        <is>
          <t>Disponibilité des pièces détachées garantie sur 5 ans.</t>
        </is>
      </c>
      <c r="H103" t="inlineStr">
        <is>
          <t>Matériel modulaire facilitant l'évolution des composants sans remplacement du châssis.</t>
        </is>
      </c>
      <c r="I103" t="inlineStr">
        <is>
          <t>IA</t>
        </is>
      </c>
      <c r="J103" t="inlineStr">
        <is>
          <t>IA / Infrastructure de développement et de déploiement ou de stockage des données</t>
        </is>
      </c>
      <c r="K103" t="inlineStr">
        <is>
          <t>RFI/RFP</t>
        </is>
      </c>
      <c r="L103" t="inlineStr">
        <is>
          <t>6.5</t>
        </is>
      </c>
      <c r="M103" t="n">
        <v>37</v>
      </c>
    </row>
  </sheetData>
  <pageMargins left="0.4" right="0.4" top="1" bottom="1" header="0.5" footer="0.5"/>
  <pageSetup orientation="portrait" paperSize="9" fitToHeight="0" fitToWidth="1"/>
  <headerFooter>
    <oddHeader/>
    <oddFooter>&amp;C&amp;A — page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Institut du Numérique Responsable (INR)</dc:creator>
  <dc:title xmlns:dc="http://purl.org/dc/elements/1.1/">Clausier Numérique Responsable V2.0</dc:title>
  <dc:description xmlns:dc="http://purl.org/dc/elements/1.1/">Généré à partir du dépôt Markdown du clausier. Classeur fondé sur le travail de structuration de Paul Saulnier.</dc:description>
  <dcterms:created xmlns:dcterms="http://purl.org/dc/terms/" xmlns:xsi="http://www.w3.org/2001/XMLSchema-instance" xsi:type="dcterms:W3CDTF">2026-08-01T00:00:00Z</dcterms:created>
  <dcterms:modified xmlns:dcterms="http://purl.org/dc/terms/" xmlns:xsi="http://www.w3.org/2001/XMLSchema-instance" xsi:type="dcterms:W3CDTF">2026-08-01T00:00:00Z</dcterms:modified>
  <cp:keywords>numérique responsable; achats; clausier; RFI; RFP; CCAP; CCTP</cp:keywords>
</cp:coreProperties>
</file>